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tonin.rak\OneDrive - VINCI Construction\Desktop\"/>
    </mc:Choice>
  </mc:AlternateContent>
  <xr:revisionPtr revIDLastSave="4" documentId="13_ncr:1_{1647A915-7115-4D00-9DDA-62022DF3D3DF}" xr6:coauthVersionLast="44" xr6:coauthVersionMax="44" xr10:uidLastSave="{381D731F-8A55-48EF-9E39-C86C766FCBCB}"/>
  <bookViews>
    <workbookView xWindow="28680" yWindow="-120" windowWidth="29040" windowHeight="15840" tabRatio="724" activeTab="2" xr2:uid="{00000000-000D-0000-FFFF-FFFF00000000}"/>
  </bookViews>
  <sheets>
    <sheet name="2018 Sběrný dvůr" sheetId="1" r:id="rId1"/>
    <sheet name="2018 výnosy SD+vesnice" sheetId="4" r:id="rId2"/>
    <sheet name="bilance" sheetId="6" r:id="rId3"/>
    <sheet name="2018 Rychlá Rota" sheetId="7" r:id="rId4"/>
    <sheet name="2018 TSDB náklady" sheetId="5" r:id="rId5"/>
    <sheet name="2018 pro statistiky" sheetId="2" r:id="rId6"/>
  </sheets>
  <definedNames>
    <definedName name="_xlnm.Print_Area" localSheetId="2">bilance!$B$1:$G$50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49" i="6" l="1"/>
  <c r="F36" i="6"/>
  <c r="G20" i="7" l="1"/>
  <c r="D32" i="6"/>
  <c r="G25" i="7"/>
  <c r="D21" i="6"/>
  <c r="G24" i="7" s="1"/>
  <c r="D14" i="6"/>
  <c r="G23" i="7" s="1"/>
  <c r="G26" i="7" s="1"/>
  <c r="G16" i="7"/>
  <c r="D47" i="6" l="1"/>
  <c r="D33" i="6"/>
  <c r="D22" i="6"/>
  <c r="L4" i="5" l="1"/>
  <c r="L5" i="5"/>
  <c r="L6" i="5"/>
  <c r="L7" i="5"/>
  <c r="L8" i="5"/>
  <c r="L9" i="5"/>
  <c r="L10" i="5"/>
  <c r="L11" i="5"/>
  <c r="L12" i="5"/>
  <c r="L13" i="5"/>
  <c r="L14" i="5"/>
  <c r="L3" i="5"/>
  <c r="D31" i="6"/>
  <c r="D46" i="6"/>
  <c r="B14" i="1" l="1"/>
  <c r="B5" i="1"/>
  <c r="B6" i="1"/>
  <c r="B7" i="1"/>
  <c r="B8" i="1"/>
  <c r="B9" i="1"/>
  <c r="B10" i="1"/>
  <c r="B11" i="1"/>
  <c r="B12" i="1"/>
  <c r="B13" i="1"/>
  <c r="B4" i="1"/>
  <c r="B3" i="1"/>
  <c r="B15" i="1" s="1"/>
  <c r="C10" i="6"/>
  <c r="C9" i="6"/>
  <c r="C8" i="6"/>
  <c r="C7" i="6"/>
  <c r="L15" i="5"/>
  <c r="J4" i="5"/>
  <c r="J5" i="5"/>
  <c r="J6" i="5"/>
  <c r="J7" i="5"/>
  <c r="J8" i="5"/>
  <c r="J9" i="5"/>
  <c r="J10" i="5"/>
  <c r="J11" i="5"/>
  <c r="J12" i="5"/>
  <c r="J13" i="5"/>
  <c r="J14" i="5"/>
  <c r="J3" i="5"/>
  <c r="C15" i="5"/>
  <c r="D15" i="5"/>
  <c r="E15" i="5"/>
  <c r="D25" i="6" s="1"/>
  <c r="G15" i="5"/>
  <c r="H15" i="5"/>
  <c r="H18" i="5" s="1"/>
  <c r="B15" i="5"/>
  <c r="E17" i="5" s="1"/>
  <c r="D2" i="6" l="1"/>
  <c r="J19" i="5"/>
  <c r="P4" i="2"/>
  <c r="P5" i="2"/>
  <c r="P6" i="2"/>
  <c r="P7" i="2"/>
  <c r="P8" i="2"/>
  <c r="P9" i="2"/>
  <c r="P10" i="2"/>
  <c r="P11" i="2"/>
  <c r="P12" i="2"/>
  <c r="P13" i="2"/>
  <c r="P14" i="2"/>
  <c r="P3" i="2"/>
  <c r="O4" i="2"/>
  <c r="O5" i="2"/>
  <c r="O6" i="2"/>
  <c r="O7" i="2"/>
  <c r="O8" i="2"/>
  <c r="O9" i="2"/>
  <c r="O10" i="2"/>
  <c r="O11" i="2"/>
  <c r="O12" i="2"/>
  <c r="O13" i="2"/>
  <c r="O14" i="2"/>
  <c r="O3" i="2"/>
  <c r="B16" i="2"/>
  <c r="H16" i="4"/>
  <c r="E24" i="6" s="1"/>
  <c r="I16" i="4"/>
  <c r="E7" i="4" l="1"/>
  <c r="D7" i="4"/>
  <c r="E13" i="6" s="1"/>
  <c r="C7" i="4"/>
  <c r="G4" i="2"/>
  <c r="G5" i="2"/>
  <c r="G6" i="2"/>
  <c r="G7" i="2"/>
  <c r="G8" i="2"/>
  <c r="G9" i="2"/>
  <c r="G10" i="2"/>
  <c r="G11" i="2"/>
  <c r="G12" i="2"/>
  <c r="G13" i="2"/>
  <c r="G14" i="2"/>
  <c r="G3" i="2"/>
  <c r="D4" i="2"/>
  <c r="D5" i="2"/>
  <c r="D6" i="2"/>
  <c r="D7" i="2"/>
  <c r="D8" i="2"/>
  <c r="D9" i="2"/>
  <c r="D10" i="2"/>
  <c r="D11" i="2"/>
  <c r="D12" i="2"/>
  <c r="D13" i="2"/>
  <c r="D14" i="2"/>
  <c r="D3" i="2"/>
  <c r="F4" i="2"/>
  <c r="F5" i="2"/>
  <c r="F6" i="2"/>
  <c r="F7" i="2"/>
  <c r="F8" i="2"/>
  <c r="F9" i="2"/>
  <c r="F10" i="2"/>
  <c r="F11" i="2"/>
  <c r="F12" i="2"/>
  <c r="F13" i="2"/>
  <c r="F14" i="2"/>
  <c r="F3" i="2"/>
  <c r="E4" i="2"/>
  <c r="E5" i="2"/>
  <c r="E6" i="2"/>
  <c r="E7" i="2"/>
  <c r="E8" i="2"/>
  <c r="E9" i="2"/>
  <c r="E10" i="2"/>
  <c r="E11" i="2"/>
  <c r="E12" i="2"/>
  <c r="E13" i="2"/>
  <c r="E14" i="2"/>
  <c r="E3" i="2"/>
  <c r="G32" i="1"/>
  <c r="H15" i="1"/>
  <c r="N15" i="1"/>
  <c r="O32" i="1"/>
  <c r="N32" i="1"/>
  <c r="H32" i="1"/>
  <c r="E12" i="6" s="1"/>
  <c r="O15" i="1"/>
  <c r="D10" i="6" s="1"/>
  <c r="P16" i="2"/>
  <c r="K32" i="2"/>
  <c r="P32" i="2"/>
  <c r="I32" i="2"/>
  <c r="G32" i="2"/>
  <c r="N16" i="2"/>
  <c r="D32" i="2"/>
  <c r="K16" i="2"/>
  <c r="I16" i="2"/>
  <c r="L16" i="2"/>
  <c r="L32" i="2"/>
  <c r="J16" i="2"/>
  <c r="C16" i="2"/>
  <c r="M16" i="2"/>
  <c r="C32" i="2"/>
  <c r="E32" i="2"/>
  <c r="F32" i="2"/>
  <c r="J32" i="2"/>
  <c r="M32" i="2"/>
  <c r="N32" i="2"/>
  <c r="O16" i="2"/>
  <c r="O32" i="2"/>
  <c r="G15" i="1"/>
  <c r="I15" i="1"/>
  <c r="B32" i="1"/>
  <c r="C32" i="1"/>
  <c r="D32" i="1"/>
  <c r="D11" i="6" s="1"/>
  <c r="I32" i="1"/>
  <c r="D12" i="6" s="1"/>
  <c r="K32" i="1"/>
  <c r="D24" i="6" s="1"/>
  <c r="L32" i="1"/>
  <c r="D23" i="6" s="1"/>
  <c r="E15" i="1"/>
  <c r="C15" i="1"/>
  <c r="D15" i="1"/>
  <c r="K15" i="1"/>
  <c r="L15" i="1"/>
  <c r="D9" i="6" s="1"/>
  <c r="D8" i="6" l="1"/>
  <c r="E2" i="6"/>
  <c r="E19" i="4"/>
  <c r="L34" i="1"/>
  <c r="F28" i="6"/>
  <c r="D48" i="6"/>
  <c r="D43" i="6"/>
  <c r="D7" i="6"/>
  <c r="D39" i="6" s="1"/>
  <c r="F16" i="2"/>
  <c r="G16" i="2"/>
  <c r="E16" i="2"/>
  <c r="D16" i="2"/>
  <c r="F40" i="6" l="1"/>
  <c r="E39" i="6"/>
  <c r="F5" i="6"/>
  <c r="F18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Rak Antonín</author>
  </authors>
  <commentList>
    <comment ref="I3" authorId="0" shapeId="0" xr:uid="{6617412F-DE1F-4018-BFA6-07708DAAA9B8}">
      <text>
        <r>
          <rPr>
            <b/>
            <sz val="9"/>
            <color indexed="81"/>
            <rFont val="Tahoma"/>
            <family val="2"/>
            <charset val="238"/>
          </rPr>
          <t>Rak Antonín:</t>
        </r>
        <r>
          <rPr>
            <sz val="9"/>
            <color indexed="81"/>
            <rFont val="Tahoma"/>
            <family val="2"/>
            <charset val="238"/>
          </rPr>
          <t xml:space="preserve">
pozor, sčítá se tady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Rak Antonín</author>
  </authors>
  <commentList>
    <comment ref="E2" authorId="0" shapeId="0" xr:uid="{62129208-598F-4158-A853-A6DA718AAB59}">
      <text>
        <r>
          <rPr>
            <b/>
            <sz val="9"/>
            <color indexed="81"/>
            <rFont val="Tahoma"/>
            <family val="2"/>
            <charset val="238"/>
          </rPr>
          <t>Rak Antonín:</t>
        </r>
        <r>
          <rPr>
            <sz val="9"/>
            <color indexed="81"/>
            <rFont val="Tahoma"/>
            <family val="2"/>
            <charset val="238"/>
          </rPr>
          <t xml:space="preserve">
50% elektro, zbytek níže, 80% plastů, zbytek níže</t>
        </r>
      </text>
    </comment>
    <comment ref="D7" authorId="0" shapeId="0" xr:uid="{E9763B33-4BCC-4E00-8B34-62527D5F80BB}">
      <text>
        <r>
          <rPr>
            <b/>
            <sz val="9"/>
            <color indexed="81"/>
            <rFont val="Tahoma"/>
            <family val="2"/>
            <charset val="238"/>
          </rPr>
          <t>Rak Antonín:</t>
        </r>
        <r>
          <rPr>
            <sz val="9"/>
            <color indexed="81"/>
            <rFont val="Tahoma"/>
            <family val="2"/>
            <charset val="238"/>
          </rPr>
          <t xml:space="preserve">
jen to, co odvezli občané</t>
        </r>
      </text>
    </comment>
  </commentList>
</comments>
</file>

<file path=xl/sharedStrings.xml><?xml version="1.0" encoding="utf-8"?>
<sst xmlns="http://schemas.openxmlformats.org/spreadsheetml/2006/main" count="256" uniqueCount="151">
  <si>
    <t>Hrubý BIO</t>
  </si>
  <si>
    <t>cena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</si>
  <si>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</si>
  <si>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</si>
  <si>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</si>
  <si>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</si>
  <si>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</si>
  <si>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</si>
  <si>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</si>
  <si>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</si>
  <si>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</si>
  <si>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</si>
  <si>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</si>
  <si>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</si>
  <si>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celkem</t>
  </si>
  <si>
    <t>plast</t>
  </si>
  <si>
    <t>papír</t>
  </si>
  <si>
    <t>sklo</t>
  </si>
  <si>
    <t>ELEKTROWIN</t>
  </si>
  <si>
    <t>tuny</t>
  </si>
  <si>
    <t>SD PL</t>
  </si>
  <si>
    <t>SD Skl</t>
  </si>
  <si>
    <t>kov</t>
  </si>
  <si>
    <t>1.Q.</t>
  </si>
  <si>
    <t>2.Q.</t>
  </si>
  <si>
    <t>3.Q.</t>
  </si>
  <si>
    <t>4.Q.</t>
  </si>
  <si>
    <t>kg</t>
  </si>
  <si>
    <t>Pneu /t</t>
  </si>
  <si>
    <t>Suť/t</t>
  </si>
  <si>
    <t>VO/t</t>
  </si>
  <si>
    <t>Směsný/t</t>
  </si>
  <si>
    <t>Klec</t>
  </si>
  <si>
    <t>SD PA</t>
  </si>
  <si>
    <t>SD te</t>
  </si>
  <si>
    <t>t</t>
  </si>
  <si>
    <t>ASEKOL</t>
  </si>
  <si>
    <t>PLAST</t>
  </si>
  <si>
    <t>ŽELEZO</t>
  </si>
  <si>
    <t>pytle</t>
  </si>
  <si>
    <t>tetr.</t>
  </si>
  <si>
    <t>Nebezpečný odpad</t>
  </si>
  <si>
    <t>Bio</t>
  </si>
  <si>
    <t>NO</t>
  </si>
  <si>
    <t>Pap.MŠ</t>
  </si>
  <si>
    <t>doprava</t>
  </si>
  <si>
    <t>pronájem</t>
  </si>
  <si>
    <t xml:space="preserve"> </t>
  </si>
  <si>
    <t>papír avíz</t>
  </si>
  <si>
    <t>hřbitov</t>
  </si>
  <si>
    <t>pneu</t>
  </si>
  <si>
    <t>uložení</t>
  </si>
  <si>
    <t>váha (t)</t>
  </si>
  <si>
    <t>váha (kg)</t>
  </si>
  <si>
    <t>Velkoobjemový</t>
  </si>
  <si>
    <t>ostatní</t>
  </si>
  <si>
    <t>Suť</t>
  </si>
  <si>
    <t>celkem t</t>
  </si>
  <si>
    <t>plast chaty</t>
  </si>
  <si>
    <t>bez dopravy RR</t>
  </si>
  <si>
    <t>Celkem</t>
  </si>
  <si>
    <t>Technické služby Dolnobřežansko</t>
  </si>
  <si>
    <t>EKO-KOM</t>
  </si>
  <si>
    <t>celkem příjmy</t>
  </si>
  <si>
    <t>náklady na tříděné odpady bez Rychlé Roty</t>
  </si>
  <si>
    <t>výnosy kov jsou započteny v listu výnosy</t>
  </si>
  <si>
    <t>šedivé - nevpisuje se zde, ale v listu Sběrný dvůr</t>
  </si>
  <si>
    <t>Popelnice</t>
  </si>
  <si>
    <t>celkem vše</t>
  </si>
  <si>
    <t>odvoz odpadu vesnice</t>
  </si>
  <si>
    <t>je obsaženo v listu Sběrný dvůr</t>
  </si>
  <si>
    <t>sběrný dvůr</t>
  </si>
  <si>
    <t>doprava + uložení</t>
  </si>
  <si>
    <t>chataři</t>
  </si>
  <si>
    <t>popelnice, separovaný</t>
  </si>
  <si>
    <t>občané</t>
  </si>
  <si>
    <t>práce RR</t>
  </si>
  <si>
    <t>nájem sběrný dvůr</t>
  </si>
  <si>
    <t>energie sběrný dvůr</t>
  </si>
  <si>
    <t>nájem, odpisy kontejnery</t>
  </si>
  <si>
    <t>režie/administrace</t>
  </si>
  <si>
    <t>mimořádnosti (hřbitov Psáry)</t>
  </si>
  <si>
    <t>výnosy z odpadu</t>
  </si>
  <si>
    <t>bilance sum</t>
  </si>
  <si>
    <t>odvoz bio z vlastních ploch</t>
  </si>
  <si>
    <t>psi</t>
  </si>
  <si>
    <t>platby občanů</t>
  </si>
  <si>
    <t>SD (t)</t>
  </si>
  <si>
    <t>RR (t)</t>
  </si>
  <si>
    <t>elektro odpad</t>
  </si>
  <si>
    <t>nákup pytlů</t>
  </si>
  <si>
    <t>zatím</t>
  </si>
  <si>
    <t>je to asi víc</t>
  </si>
  <si>
    <t>odvoz odpadků z veřejných košů</t>
  </si>
  <si>
    <t>odvoz obsahu košů RR</t>
  </si>
  <si>
    <t>odvoz pytlů RR do sběr. dvora</t>
  </si>
  <si>
    <t>nájem kontejneru na pytle</t>
  </si>
  <si>
    <t>náklad veřejné koše</t>
  </si>
  <si>
    <t>tříděný odpad základ</t>
  </si>
  <si>
    <t>tříděný odpad 2.vývoz</t>
  </si>
  <si>
    <t>vývoz sběrný dvůr ostatní</t>
  </si>
  <si>
    <t>vývoz sběrný dvůr BIO</t>
  </si>
  <si>
    <t>odvoz kontejnerů plasty</t>
  </si>
  <si>
    <t>multikára na svoz</t>
  </si>
  <si>
    <t>odvoz a likvidace odpad</t>
  </si>
  <si>
    <t>pneu odvoz a likvidace</t>
  </si>
  <si>
    <t>kov odvoz a zisk z prodeje</t>
  </si>
  <si>
    <t>odpisy/nákupy koše na psí exkr.</t>
  </si>
  <si>
    <t>nákup pytlíky do košů</t>
  </si>
  <si>
    <t>co všechno tam patří?</t>
  </si>
  <si>
    <t>Pytle chataři</t>
  </si>
  <si>
    <t>nezjištěno, ale malá ryba</t>
  </si>
  <si>
    <t>náklad veřejné koše pytle</t>
  </si>
  <si>
    <t>Dobrý den,</t>
  </si>
  <si>
    <t>Mzdové náklady „čety“ (bez OON-sběrného dvora) za rok 2018 jsou 958.910,-Kč plus 326.030,-Kč odvod SP a ZP za firmu.</t>
  </si>
  <si>
    <t>V těchto nákladech jsou zahrnuty např. svozy pytlů, košů, úklid kontejnerů, posyp chodníků, opravy cest, odvoz větví, stěhování  a vše další.</t>
  </si>
  <si>
    <r>
      <t xml:space="preserve">K tomu jsou mzdové náklady pouze za </t>
    </r>
    <r>
      <rPr>
        <b/>
        <sz val="11"/>
        <color rgb="FF1F497D"/>
        <rFont val="Calibri"/>
        <family val="2"/>
        <charset val="238"/>
        <scheme val="minor"/>
      </rPr>
      <t>sběrný dvůr -</t>
    </r>
    <r>
      <rPr>
        <sz val="11"/>
        <color rgb="FF1F497D"/>
        <rFont val="Calibri"/>
        <family val="2"/>
        <charset val="238"/>
        <scheme val="minor"/>
      </rPr>
      <t xml:space="preserve"> ty jsou za rok 2018 ve výši 71.500,-Kč plus 15.632,-Kč odvod SP a ZP za firmu.</t>
    </r>
  </si>
  <si>
    <t xml:space="preserve">Do těchto výše uvedených mzdových nákladů nejsou zahrnuty mzdové náklady na pana Nováka. </t>
  </si>
  <si>
    <t>Náplní práce pana Nováka je rozvoz svačin a obědů, svoz přepravek, kontrola stavu vodovodního zařízení.</t>
  </si>
  <si>
    <t>S pozdravem a přáním hezkého dne,</t>
  </si>
  <si>
    <t>Daniela Jelínková</t>
  </si>
  <si>
    <t>Mzdová účetní OÚ Psáry</t>
  </si>
  <si>
    <t>po 4.2.2019 9:28</t>
  </si>
  <si>
    <t>Rychlá rota sběrný dvůr jenom???</t>
  </si>
  <si>
    <t>do "své" tabulky jsem dal:</t>
  </si>
  <si>
    <t>RR sběrný dvůr =-6000*2*12</t>
  </si>
  <si>
    <t>odvoz pytlů RR do sběr. dvora =-3000*2*12</t>
  </si>
  <si>
    <t>odvoz obsahu košů RR =-3000*2*12</t>
  </si>
  <si>
    <t>mzdy</t>
  </si>
  <si>
    <t>odvody</t>
  </si>
  <si>
    <t>sum</t>
  </si>
  <si>
    <t>nákup psích známek</t>
  </si>
  <si>
    <t>zatím nula</t>
  </si>
  <si>
    <t>faktura 2018</t>
  </si>
  <si>
    <t>realita 2018 j.c*výměra</t>
  </si>
  <si>
    <t>nájem odhad plus PHM 2018</t>
  </si>
  <si>
    <t>realita 2018, zůstane i v 2019</t>
  </si>
  <si>
    <t>realita 2018 j.c*výměra, výnos 20%</t>
  </si>
  <si>
    <t>prostý odhad</t>
  </si>
  <si>
    <t>realita 2018 podle paušálu 2018</t>
  </si>
  <si>
    <t>odhad, nutno v 2019 zpřesnit</t>
  </si>
  <si>
    <t>beru jako službu občanům obecně</t>
  </si>
  <si>
    <t>souvisí se sekáním obecního</t>
  </si>
  <si>
    <t>beru jako mimořádnou službu</t>
  </si>
  <si>
    <t>plasty výnos 80%</t>
  </si>
  <si>
    <t>kolik máme košů? 50?</t>
  </si>
  <si>
    <t>práce RR pro odpadové hospodářství</t>
  </si>
  <si>
    <t>kolik má RR členů? 4 bez Nováka??</t>
  </si>
  <si>
    <t>Rychlá rota vše bez sběrného dvora a Nováka</t>
  </si>
  <si>
    <t>realita 2018</t>
  </si>
  <si>
    <t>odpuštěné platby seniorům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</si>
</sst>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K_č_-;\-* #,##0.00\ _K_č_-;_-* &quot;-&quot;??\ _K_č_-;_-@_-"/>
    <numFmt numFmtId="165" formatCode="0.000"/>
    <numFmt numFmtId="166" formatCode="#,##0.000_ ;\-#,##0.000\ "/>
    <numFmt numFmtId="167" formatCode="#,##0.000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0"/>
      <color rgb="FF00B050"/>
      <name val="Calibri"/>
      <family val="2"/>
      <charset val="238"/>
      <scheme val="minor"/>
    </font>
    <font>
      <sz val="11"/>
      <color rgb="FF1F497D"/>
      <name val="Calibri"/>
      <family val="2"/>
      <charset val="238"/>
      <scheme val="minor"/>
    </font>
    <font>
      <b/>
      <sz val="11"/>
      <color rgb="FF1F497D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2" borderId="1"/>
  </cellStyleXfs>
  <cellXfs count="287">
    <xf numFmtId="0" fontId="0" fillId="0" borderId="0" xfId="0"/>
    <xf numFmtId="0" fontId="2" fillId="0" borderId="1" xfId="0" applyFont="1" applyBorder="1"/>
    <xf numFmtId="0" fontId="2" fillId="0" borderId="0" xfId="0" applyFont="1"/>
    <xf numFmtId="0" fontId="2" fillId="0" borderId="0" xfId="0" applyFont="1" applyBorder="1"/>
    <xf numFmtId="0" fontId="0" fillId="0" borderId="0" xfId="0" applyBorder="1"/>
    <xf numFmtId="165" fontId="0" fillId="0" borderId="0" xfId="0" applyNumberFormat="1"/>
    <xf numFmtId="0" fontId="3" fillId="0" borderId="0" xfId="0" applyFont="1"/>
    <xf numFmtId="0" fontId="0" fillId="0" borderId="0" xfId="0" applyFill="1"/>
    <xf numFmtId="0" fontId="0" fillId="0" borderId="8" xfId="0" applyBorder="1"/>
    <xf numFmtId="0" fontId="0" fillId="0" borderId="9" xfId="0" applyFill="1" applyBorder="1"/>
    <xf numFmtId="165" fontId="0" fillId="5" borderId="10" xfId="0" applyNumberFormat="1" applyFill="1" applyBorder="1"/>
    <xf numFmtId="166" fontId="1" fillId="5" borderId="10" xfId="1" applyNumberFormat="1" applyFont="1" applyFill="1" applyBorder="1"/>
    <xf numFmtId="0" fontId="0" fillId="0" borderId="9" xfId="0" applyNumberFormat="1" applyFill="1" applyBorder="1"/>
    <xf numFmtId="2" fontId="0" fillId="0" borderId="8" xfId="0" applyNumberFormat="1" applyBorder="1"/>
    <xf numFmtId="2" fontId="1" fillId="5" borderId="10" xfId="1" applyNumberFormat="1" applyFont="1" applyFill="1" applyBorder="1"/>
    <xf numFmtId="2" fontId="0" fillId="5" borderId="10" xfId="0" applyNumberFormat="1" applyFill="1" applyBorder="1"/>
    <xf numFmtId="0" fontId="0" fillId="3" borderId="8" xfId="0" applyFill="1" applyBorder="1"/>
    <xf numFmtId="165" fontId="0" fillId="3" borderId="10" xfId="0" applyNumberFormat="1" applyFill="1" applyBorder="1"/>
    <xf numFmtId="0" fontId="0" fillId="5" borderId="14" xfId="0" applyFill="1" applyBorder="1"/>
    <xf numFmtId="0" fontId="0" fillId="4" borderId="8" xfId="0" applyFill="1" applyBorder="1"/>
    <xf numFmtId="0" fontId="0" fillId="4" borderId="10" xfId="0" applyFill="1" applyBorder="1"/>
    <xf numFmtId="165" fontId="0" fillId="4" borderId="10" xfId="0" applyNumberFormat="1" applyFill="1" applyBorder="1"/>
    <xf numFmtId="0" fontId="2" fillId="0" borderId="1" xfId="0" applyFont="1" applyBorder="1" applyAlignment="1">
      <alignment horizontal="center"/>
    </xf>
    <xf numFmtId="0" fontId="0" fillId="0" borderId="10" xfId="0" applyBorder="1"/>
    <xf numFmtId="0" fontId="2" fillId="0" borderId="19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2" fontId="6" fillId="0" borderId="8" xfId="0" applyNumberFormat="1" applyFon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3" fontId="0" fillId="0" borderId="10" xfId="0" applyNumberFormat="1" applyBorder="1" applyAlignment="1">
      <alignment horizontal="right" indent="1"/>
    </xf>
    <xf numFmtId="0" fontId="2" fillId="0" borderId="15" xfId="0" applyFont="1" applyBorder="1"/>
    <xf numFmtId="3" fontId="0" fillId="0" borderId="17" xfId="0" applyNumberFormat="1" applyBorder="1" applyAlignment="1">
      <alignment horizontal="right" indent="1"/>
    </xf>
    <xf numFmtId="3" fontId="0" fillId="0" borderId="18" xfId="0" applyNumberFormat="1" applyBorder="1" applyAlignment="1">
      <alignment horizontal="right" indent="1"/>
    </xf>
    <xf numFmtId="0" fontId="5" fillId="0" borderId="1" xfId="0" applyFont="1" applyBorder="1" applyAlignment="1">
      <alignment horizontal="center"/>
    </xf>
    <xf numFmtId="2" fontId="6" fillId="0" borderId="16" xfId="0" applyNumberFormat="1" applyFont="1" applyBorder="1" applyAlignment="1">
      <alignment horizontal="right" indent="1"/>
    </xf>
    <xf numFmtId="3" fontId="0" fillId="0" borderId="22" xfId="0" applyNumberFormat="1" applyBorder="1" applyAlignment="1">
      <alignment horizontal="right" indent="1"/>
    </xf>
    <xf numFmtId="3" fontId="0" fillId="0" borderId="23" xfId="0" applyNumberFormat="1" applyBorder="1" applyAlignment="1">
      <alignment horizontal="right" indent="1"/>
    </xf>
    <xf numFmtId="0" fontId="4" fillId="0" borderId="1" xfId="0" applyFont="1" applyBorder="1" applyAlignment="1">
      <alignment horizontal="center"/>
    </xf>
    <xf numFmtId="0" fontId="0" fillId="0" borderId="22" xfId="0" applyBorder="1"/>
    <xf numFmtId="0" fontId="0" fillId="0" borderId="23" xfId="0" applyBorder="1"/>
    <xf numFmtId="0" fontId="2" fillId="0" borderId="24" xfId="0" applyFont="1" applyBorder="1"/>
    <xf numFmtId="3" fontId="0" fillId="0" borderId="25" xfId="0" applyNumberFormat="1" applyBorder="1" applyAlignment="1">
      <alignment horizontal="right" indent="1"/>
    </xf>
    <xf numFmtId="2" fontId="6" fillId="0" borderId="7" xfId="0" applyNumberFormat="1" applyFont="1" applyBorder="1" applyAlignment="1">
      <alignment horizontal="right" indent="1"/>
    </xf>
    <xf numFmtId="2" fontId="6" fillId="0" borderId="10" xfId="0" applyNumberFormat="1" applyFont="1" applyBorder="1" applyAlignment="1">
      <alignment horizontal="right" indent="1"/>
    </xf>
    <xf numFmtId="2" fontId="6" fillId="0" borderId="6" xfId="0" applyNumberFormat="1" applyFont="1" applyBorder="1" applyAlignment="1">
      <alignment horizontal="right" indent="1"/>
    </xf>
    <xf numFmtId="2" fontId="6" fillId="0" borderId="9" xfId="0" applyNumberFormat="1" applyFont="1" applyBorder="1" applyAlignment="1">
      <alignment horizontal="right" indent="1"/>
    </xf>
    <xf numFmtId="3" fontId="0" fillId="0" borderId="26" xfId="0" applyNumberFormat="1" applyBorder="1" applyAlignment="1">
      <alignment horizontal="right" indent="1"/>
    </xf>
    <xf numFmtId="3" fontId="7" fillId="0" borderId="17" xfId="0" applyNumberFormat="1" applyFont="1" applyBorder="1" applyAlignment="1">
      <alignment horizontal="right" indent="1"/>
    </xf>
    <xf numFmtId="3" fontId="7" fillId="0" borderId="9" xfId="0" applyNumberFormat="1" applyFont="1" applyBorder="1" applyAlignment="1">
      <alignment horizontal="right" indent="1"/>
    </xf>
    <xf numFmtId="2" fontId="5" fillId="0" borderId="27" xfId="0" applyNumberFormat="1" applyFont="1" applyBorder="1" applyAlignment="1">
      <alignment horizontal="right" indent="1"/>
    </xf>
    <xf numFmtId="3" fontId="3" fillId="0" borderId="28" xfId="0" applyNumberFormat="1" applyFont="1" applyBorder="1" applyAlignment="1">
      <alignment horizontal="right" indent="1"/>
    </xf>
    <xf numFmtId="3" fontId="3" fillId="0" borderId="29" xfId="0" applyNumberFormat="1" applyFont="1" applyBorder="1" applyAlignment="1">
      <alignment horizontal="right" indent="1"/>
    </xf>
    <xf numFmtId="0" fontId="0" fillId="0" borderId="24" xfId="0" applyBorder="1"/>
    <xf numFmtId="2" fontId="6" fillId="0" borderId="11" xfId="0" applyNumberFormat="1" applyFont="1" applyBorder="1" applyAlignment="1">
      <alignment horizontal="right" indent="1"/>
    </xf>
    <xf numFmtId="3" fontId="0" fillId="0" borderId="12" xfId="0" applyNumberFormat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6" fillId="0" borderId="16" xfId="0" applyNumberFormat="1" applyFont="1" applyBorder="1" applyAlignment="1">
      <alignment horizontal="right" indent="1"/>
    </xf>
    <xf numFmtId="3" fontId="6" fillId="0" borderId="8" xfId="0" applyNumberFormat="1" applyFont="1" applyBorder="1" applyAlignment="1">
      <alignment horizontal="right" indent="1"/>
    </xf>
    <xf numFmtId="3" fontId="5" fillId="0" borderId="27" xfId="0" applyNumberFormat="1" applyFont="1" applyBorder="1" applyAlignment="1">
      <alignment horizontal="right" indent="1"/>
    </xf>
    <xf numFmtId="3" fontId="4" fillId="0" borderId="28" xfId="0" applyNumberFormat="1" applyFont="1" applyBorder="1" applyAlignment="1">
      <alignment horizontal="right" indent="1"/>
    </xf>
    <xf numFmtId="3" fontId="6" fillId="0" borderId="11" xfId="0" applyNumberFormat="1" applyFont="1" applyBorder="1" applyAlignment="1">
      <alignment horizontal="right" indent="1"/>
    </xf>
    <xf numFmtId="3" fontId="7" fillId="0" borderId="12" xfId="0" applyNumberFormat="1" applyFont="1" applyBorder="1" applyAlignment="1">
      <alignment horizontal="right" indent="1"/>
    </xf>
    <xf numFmtId="3" fontId="3" fillId="0" borderId="15" xfId="0" applyNumberFormat="1" applyFont="1" applyBorder="1" applyAlignment="1">
      <alignment horizontal="right" indent="1"/>
    </xf>
    <xf numFmtId="3" fontId="0" fillId="0" borderId="24" xfId="0" applyNumberFormat="1" applyBorder="1" applyAlignment="1">
      <alignment horizontal="right" indent="1"/>
    </xf>
    <xf numFmtId="2" fontId="0" fillId="7" borderId="9" xfId="0" applyNumberFormat="1" applyFill="1" applyBorder="1"/>
    <xf numFmtId="3" fontId="0" fillId="7" borderId="9" xfId="0" applyNumberFormat="1" applyFill="1" applyBorder="1"/>
    <xf numFmtId="2" fontId="0" fillId="7" borderId="14" xfId="0" applyNumberFormat="1" applyFill="1" applyBorder="1"/>
    <xf numFmtId="0" fontId="0" fillId="0" borderId="15" xfId="0" applyBorder="1" applyAlignment="1">
      <alignment horizontal="center"/>
    </xf>
    <xf numFmtId="0" fontId="2" fillId="0" borderId="3" xfId="0" applyFont="1" applyBorder="1"/>
    <xf numFmtId="0" fontId="0" fillId="0" borderId="4" xfId="0" applyBorder="1"/>
    <xf numFmtId="0" fontId="0" fillId="0" borderId="2" xfId="0" applyBorder="1"/>
    <xf numFmtId="0" fontId="0" fillId="0" borderId="1" xfId="0" applyFill="1" applyBorder="1" applyAlignment="1">
      <alignment horizontal="center"/>
    </xf>
    <xf numFmtId="4" fontId="0" fillId="0" borderId="22" xfId="0" applyNumberFormat="1" applyBorder="1" applyAlignment="1">
      <alignment horizontal="right" indent="1"/>
    </xf>
    <xf numFmtId="4" fontId="0" fillId="0" borderId="23" xfId="0" applyNumberFormat="1" applyBorder="1" applyAlignment="1">
      <alignment horizontal="right" indent="1"/>
    </xf>
    <xf numFmtId="4" fontId="0" fillId="0" borderId="24" xfId="0" applyNumberFormat="1" applyBorder="1" applyAlignment="1">
      <alignment horizontal="right" indent="1"/>
    </xf>
    <xf numFmtId="0" fontId="0" fillId="0" borderId="16" xfId="0" applyBorder="1"/>
    <xf numFmtId="0" fontId="0" fillId="0" borderId="18" xfId="0" applyBorder="1"/>
    <xf numFmtId="2" fontId="0" fillId="7" borderId="30" xfId="0" applyNumberFormat="1" applyFill="1" applyBorder="1"/>
    <xf numFmtId="2" fontId="0" fillId="7" borderId="17" xfId="0" applyNumberFormat="1" applyFill="1" applyBorder="1"/>
    <xf numFmtId="3" fontId="0" fillId="7" borderId="17" xfId="0" applyNumberFormat="1" applyFill="1" applyBorder="1"/>
    <xf numFmtId="0" fontId="0" fillId="0" borderId="17" xfId="0" applyFill="1" applyBorder="1"/>
    <xf numFmtId="0" fontId="0" fillId="3" borderId="16" xfId="0" applyFill="1" applyBorder="1"/>
    <xf numFmtId="165" fontId="0" fillId="3" borderId="18" xfId="0" applyNumberFormat="1" applyFill="1" applyBorder="1"/>
    <xf numFmtId="0" fontId="0" fillId="4" borderId="16" xfId="0" applyFill="1" applyBorder="1"/>
    <xf numFmtId="0" fontId="0" fillId="4" borderId="18" xfId="0" applyFill="1" applyBorder="1"/>
    <xf numFmtId="0" fontId="0" fillId="5" borderId="30" xfId="0" applyFill="1" applyBorder="1"/>
    <xf numFmtId="165" fontId="0" fillId="5" borderId="18" xfId="0" applyNumberFormat="1" applyFill="1" applyBorder="1"/>
    <xf numFmtId="0" fontId="2" fillId="0" borderId="20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165" fontId="2" fillId="3" borderId="21" xfId="0" applyNumberFormat="1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5" borderId="31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0" fillId="0" borderId="32" xfId="0" applyBorder="1"/>
    <xf numFmtId="2" fontId="0" fillId="0" borderId="33" xfId="0" applyNumberFormat="1" applyBorder="1"/>
    <xf numFmtId="0" fontId="0" fillId="0" borderId="34" xfId="0" applyBorder="1"/>
    <xf numFmtId="0" fontId="0" fillId="0" borderId="36" xfId="0" applyFill="1" applyBorder="1"/>
    <xf numFmtId="0" fontId="0" fillId="3" borderId="33" xfId="0" applyFill="1" applyBorder="1"/>
    <xf numFmtId="165" fontId="0" fillId="3" borderId="34" xfId="0" applyNumberFormat="1" applyFill="1" applyBorder="1"/>
    <xf numFmtId="0" fontId="0" fillId="4" borderId="33" xfId="0" applyFill="1" applyBorder="1"/>
    <xf numFmtId="0" fontId="0" fillId="4" borderId="34" xfId="0" applyFill="1" applyBorder="1"/>
    <xf numFmtId="0" fontId="0" fillId="5" borderId="35" xfId="0" applyFill="1" applyBorder="1"/>
    <xf numFmtId="2" fontId="0" fillId="5" borderId="34" xfId="0" applyNumberFormat="1" applyFill="1" applyBorder="1"/>
    <xf numFmtId="0" fontId="2" fillId="3" borderId="19" xfId="0" applyFont="1" applyFill="1" applyBorder="1"/>
    <xf numFmtId="0" fontId="2" fillId="4" borderId="19" xfId="0" applyFont="1" applyFill="1" applyBorder="1"/>
    <xf numFmtId="0" fontId="2" fillId="8" borderId="19" xfId="0" applyFont="1" applyFill="1" applyBorder="1" applyAlignment="1">
      <alignment horizontal="center"/>
    </xf>
    <xf numFmtId="0" fontId="2" fillId="8" borderId="20" xfId="0" applyFont="1" applyFill="1" applyBorder="1" applyAlignment="1">
      <alignment horizontal="center"/>
    </xf>
    <xf numFmtId="0" fontId="2" fillId="8" borderId="21" xfId="0" applyFont="1" applyFill="1" applyBorder="1" applyAlignment="1">
      <alignment horizontal="center"/>
    </xf>
    <xf numFmtId="165" fontId="0" fillId="8" borderId="17" xfId="0" applyNumberFormat="1" applyFill="1" applyBorder="1"/>
    <xf numFmtId="165" fontId="0" fillId="8" borderId="18" xfId="0" applyNumberFormat="1" applyFill="1" applyBorder="1"/>
    <xf numFmtId="165" fontId="0" fillId="8" borderId="9" xfId="0" applyNumberFormat="1" applyFill="1" applyBorder="1"/>
    <xf numFmtId="165" fontId="0" fillId="8" borderId="10" xfId="0" applyNumberFormat="1" applyFill="1" applyBorder="1"/>
    <xf numFmtId="0" fontId="0" fillId="8" borderId="9" xfId="0" applyFill="1" applyBorder="1"/>
    <xf numFmtId="0" fontId="0" fillId="8" borderId="33" xfId="0" applyFill="1" applyBorder="1"/>
    <xf numFmtId="165" fontId="0" fillId="8" borderId="36" xfId="0" applyNumberFormat="1" applyFill="1" applyBorder="1"/>
    <xf numFmtId="0" fontId="0" fillId="8" borderId="36" xfId="0" applyNumberFormat="1" applyFill="1" applyBorder="1"/>
    <xf numFmtId="165" fontId="0" fillId="8" borderId="34" xfId="0" applyNumberFormat="1" applyFill="1" applyBorder="1"/>
    <xf numFmtId="0" fontId="2" fillId="8" borderId="19" xfId="0" applyFont="1" applyFill="1" applyBorder="1"/>
    <xf numFmtId="165" fontId="2" fillId="8" borderId="20" xfId="0" applyNumberFormat="1" applyFont="1" applyFill="1" applyBorder="1"/>
    <xf numFmtId="0" fontId="2" fillId="8" borderId="20" xfId="0" applyNumberFormat="1" applyFont="1" applyFill="1" applyBorder="1"/>
    <xf numFmtId="165" fontId="2" fillId="8" borderId="21" xfId="0" applyNumberFormat="1" applyFont="1" applyFill="1" applyBorder="1"/>
    <xf numFmtId="0" fontId="0" fillId="3" borderId="10" xfId="0" applyFill="1" applyBorder="1"/>
    <xf numFmtId="0" fontId="0" fillId="3" borderId="18" xfId="0" applyFill="1" applyBorder="1"/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0" fillId="3" borderId="36" xfId="0" applyFill="1" applyBorder="1"/>
    <xf numFmtId="0" fontId="0" fillId="3" borderId="34" xfId="0" applyFill="1" applyBorder="1"/>
    <xf numFmtId="0" fontId="0" fillId="4" borderId="36" xfId="0" applyFill="1" applyBorder="1"/>
    <xf numFmtId="0" fontId="0" fillId="5" borderId="33" xfId="0" applyFill="1" applyBorder="1"/>
    <xf numFmtId="165" fontId="0" fillId="5" borderId="34" xfId="0" applyNumberFormat="1" applyFill="1" applyBorder="1"/>
    <xf numFmtId="0" fontId="2" fillId="3" borderId="20" xfId="0" applyFont="1" applyFill="1" applyBorder="1"/>
    <xf numFmtId="0" fontId="2" fillId="3" borderId="21" xfId="0" applyFont="1" applyFill="1" applyBorder="1"/>
    <xf numFmtId="0" fontId="2" fillId="4" borderId="20" xfId="0" applyFont="1" applyFill="1" applyBorder="1"/>
    <xf numFmtId="0" fontId="2" fillId="4" borderId="21" xfId="0" applyFont="1" applyFill="1" applyBorder="1"/>
    <xf numFmtId="0" fontId="2" fillId="5" borderId="19" xfId="0" applyFont="1" applyFill="1" applyBorder="1"/>
    <xf numFmtId="165" fontId="2" fillId="5" borderId="21" xfId="0" applyNumberFormat="1" applyFont="1" applyFill="1" applyBorder="1"/>
    <xf numFmtId="3" fontId="0" fillId="7" borderId="16" xfId="0" applyNumberFormat="1" applyFill="1" applyBorder="1"/>
    <xf numFmtId="3" fontId="0" fillId="7" borderId="18" xfId="0" applyNumberFormat="1" applyFill="1" applyBorder="1"/>
    <xf numFmtId="4" fontId="2" fillId="0" borderId="19" xfId="0" applyNumberFormat="1" applyFont="1" applyBorder="1"/>
    <xf numFmtId="4" fontId="2" fillId="0" borderId="21" xfId="0" applyNumberFormat="1" applyFont="1" applyBorder="1"/>
    <xf numFmtId="4" fontId="2" fillId="0" borderId="20" xfId="0" applyNumberFormat="1" applyFont="1" applyFill="1" applyBorder="1"/>
    <xf numFmtId="3" fontId="2" fillId="5" borderId="31" xfId="0" applyNumberFormat="1" applyFont="1" applyFill="1" applyBorder="1"/>
    <xf numFmtId="3" fontId="2" fillId="4" borderId="19" xfId="0" applyNumberFormat="1" applyFont="1" applyFill="1" applyBorder="1"/>
    <xf numFmtId="3" fontId="2" fillId="3" borderId="19" xfId="0" applyNumberFormat="1" applyFont="1" applyFill="1" applyBorder="1"/>
    <xf numFmtId="0" fontId="2" fillId="7" borderId="19" xfId="0" applyFont="1" applyFill="1" applyBorder="1" applyAlignment="1">
      <alignment horizontal="center"/>
    </xf>
    <xf numFmtId="0" fontId="2" fillId="7" borderId="21" xfId="0" applyFont="1" applyFill="1" applyBorder="1" applyAlignment="1">
      <alignment horizontal="center"/>
    </xf>
    <xf numFmtId="0" fontId="0" fillId="7" borderId="33" xfId="0" applyFill="1" applyBorder="1"/>
    <xf numFmtId="0" fontId="0" fillId="7" borderId="34" xfId="0" applyFill="1" applyBorder="1"/>
    <xf numFmtId="3" fontId="2" fillId="7" borderId="21" xfId="0" applyNumberFormat="1" applyFont="1" applyFill="1" applyBorder="1"/>
    <xf numFmtId="0" fontId="0" fillId="7" borderId="35" xfId="0" applyFill="1" applyBorder="1"/>
    <xf numFmtId="2" fontId="0" fillId="7" borderId="36" xfId="0" applyNumberFormat="1" applyFill="1" applyBorder="1"/>
    <xf numFmtId="0" fontId="0" fillId="7" borderId="36" xfId="0" applyFill="1" applyBorder="1"/>
    <xf numFmtId="4" fontId="2" fillId="7" borderId="31" xfId="0" applyNumberFormat="1" applyFont="1" applyFill="1" applyBorder="1"/>
    <xf numFmtId="4" fontId="2" fillId="7" borderId="20" xfId="0" applyNumberFormat="1" applyFont="1" applyFill="1" applyBorder="1"/>
    <xf numFmtId="3" fontId="2" fillId="7" borderId="20" xfId="0" applyNumberFormat="1" applyFont="1" applyFill="1" applyBorder="1"/>
    <xf numFmtId="0" fontId="2" fillId="7" borderId="31" xfId="0" applyFont="1" applyFill="1" applyBorder="1" applyAlignment="1">
      <alignment horizontal="center"/>
    </xf>
    <xf numFmtId="0" fontId="2" fillId="7" borderId="20" xfId="0" applyFont="1" applyFill="1" applyBorder="1" applyAlignment="1">
      <alignment horizontal="center"/>
    </xf>
    <xf numFmtId="167" fontId="2" fillId="4" borderId="21" xfId="0" applyNumberFormat="1" applyFont="1" applyFill="1" applyBorder="1"/>
    <xf numFmtId="167" fontId="1" fillId="5" borderId="21" xfId="1" applyNumberFormat="1" applyFont="1" applyFill="1" applyBorder="1"/>
    <xf numFmtId="0" fontId="0" fillId="8" borderId="16" xfId="0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0" fillId="8" borderId="17" xfId="0" applyNumberFormat="1" applyFill="1" applyBorder="1" applyAlignment="1">
      <alignment horizontal="center"/>
    </xf>
    <xf numFmtId="0" fontId="0" fillId="8" borderId="9" xfId="0" applyNumberFormat="1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5" borderId="16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7" borderId="0" xfId="0" applyFill="1"/>
    <xf numFmtId="164" fontId="2" fillId="9" borderId="1" xfId="1" applyFont="1" applyFill="1" applyBorder="1"/>
    <xf numFmtId="164" fontId="1" fillId="0" borderId="5" xfId="1" applyFont="1" applyFill="1" applyBorder="1"/>
    <xf numFmtId="164" fontId="1" fillId="0" borderId="6" xfId="1" applyFont="1" applyFill="1" applyBorder="1"/>
    <xf numFmtId="164" fontId="1" fillId="0" borderId="8" xfId="1" applyFont="1" applyFill="1" applyBorder="1"/>
    <xf numFmtId="164" fontId="1" fillId="0" borderId="9" xfId="1" applyFont="1" applyFill="1" applyBorder="1"/>
    <xf numFmtId="164" fontId="1" fillId="0" borderId="11" xfId="1" applyFont="1" applyFill="1" applyBorder="1"/>
    <xf numFmtId="164" fontId="1" fillId="0" borderId="12" xfId="1" applyFont="1" applyFill="1" applyBorder="1"/>
    <xf numFmtId="164" fontId="1" fillId="0" borderId="22" xfId="1" applyFont="1" applyBorder="1"/>
    <xf numFmtId="164" fontId="1" fillId="0" borderId="23" xfId="1" applyFont="1" applyBorder="1"/>
    <xf numFmtId="164" fontId="1" fillId="0" borderId="24" xfId="1" applyFont="1" applyBorder="1"/>
    <xf numFmtId="3" fontId="0" fillId="0" borderId="0" xfId="0" applyNumberFormat="1"/>
    <xf numFmtId="3" fontId="0" fillId="6" borderId="0" xfId="0" applyNumberFormat="1" applyFill="1"/>
    <xf numFmtId="3" fontId="0" fillId="6" borderId="1" xfId="0" applyNumberFormat="1" applyFill="1" applyBorder="1"/>
    <xf numFmtId="0" fontId="0" fillId="9" borderId="3" xfId="0" applyFill="1" applyBorder="1"/>
    <xf numFmtId="0" fontId="0" fillId="9" borderId="2" xfId="0" applyFill="1" applyBorder="1"/>
    <xf numFmtId="164" fontId="1" fillId="0" borderId="7" xfId="1" applyFont="1" applyFill="1" applyBorder="1"/>
    <xf numFmtId="164" fontId="1" fillId="0" borderId="10" xfId="1" applyFont="1" applyFill="1" applyBorder="1"/>
    <xf numFmtId="164" fontId="1" fillId="0" borderId="13" xfId="1" applyFont="1" applyFill="1" applyBorder="1"/>
    <xf numFmtId="0" fontId="0" fillId="0" borderId="0" xfId="0" applyAlignment="1">
      <alignment horizontal="center" wrapText="1"/>
    </xf>
    <xf numFmtId="0" fontId="0" fillId="0" borderId="0" xfId="0" applyAlignment="1">
      <alignment horizontal="right" indent="1"/>
    </xf>
    <xf numFmtId="0" fontId="0" fillId="0" borderId="0" xfId="0" applyAlignment="1">
      <alignment horizontal="center" vertical="center" wrapText="1"/>
    </xf>
    <xf numFmtId="3" fontId="2" fillId="0" borderId="1" xfId="0" applyNumberFormat="1" applyFont="1" applyBorder="1"/>
    <xf numFmtId="3" fontId="2" fillId="7" borderId="19" xfId="0" applyNumberFormat="1" applyFont="1" applyFill="1" applyBorder="1"/>
    <xf numFmtId="3" fontId="2" fillId="3" borderId="21" xfId="0" applyNumberFormat="1" applyFont="1" applyFill="1" applyBorder="1"/>
    <xf numFmtId="2" fontId="6" fillId="0" borderId="8" xfId="0" applyNumberFormat="1" applyFont="1" applyFill="1" applyBorder="1" applyAlignment="1">
      <alignment horizontal="right" indent="1"/>
    </xf>
    <xf numFmtId="2" fontId="6" fillId="10" borderId="5" xfId="0" applyNumberFormat="1" applyFont="1" applyFill="1" applyBorder="1" applyAlignment="1">
      <alignment horizontal="right" indent="1"/>
    </xf>
    <xf numFmtId="2" fontId="6" fillId="10" borderId="8" xfId="0" applyNumberFormat="1" applyFont="1" applyFill="1" applyBorder="1" applyAlignment="1">
      <alignment horizontal="right" indent="1"/>
    </xf>
    <xf numFmtId="0" fontId="5" fillId="0" borderId="15" xfId="0" applyFont="1" applyBorder="1" applyAlignment="1">
      <alignment horizontal="center"/>
    </xf>
    <xf numFmtId="2" fontId="6" fillId="10" borderId="33" xfId="0" applyNumberFormat="1" applyFont="1" applyFill="1" applyBorder="1" applyAlignment="1">
      <alignment horizontal="right" indent="1"/>
    </xf>
    <xf numFmtId="2" fontId="6" fillId="0" borderId="36" xfId="0" applyNumberFormat="1" applyFont="1" applyFill="1" applyBorder="1" applyAlignment="1">
      <alignment horizontal="right" indent="1"/>
    </xf>
    <xf numFmtId="2" fontId="6" fillId="0" borderId="34" xfId="0" applyNumberFormat="1" applyFont="1" applyFill="1" applyBorder="1" applyAlignment="1">
      <alignment horizontal="right" indent="1"/>
    </xf>
    <xf numFmtId="3" fontId="0" fillId="0" borderId="39" xfId="0" applyNumberFormat="1" applyFill="1" applyBorder="1" applyAlignment="1">
      <alignment horizontal="right" indent="1"/>
    </xf>
    <xf numFmtId="2" fontId="5" fillId="0" borderId="19" xfId="0" applyNumberFormat="1" applyFont="1" applyBorder="1" applyAlignment="1">
      <alignment horizontal="right" indent="1"/>
    </xf>
    <xf numFmtId="2" fontId="5" fillId="0" borderId="20" xfId="0" applyNumberFormat="1" applyFont="1" applyBorder="1" applyAlignment="1">
      <alignment horizontal="right" indent="1"/>
    </xf>
    <xf numFmtId="2" fontId="5" fillId="0" borderId="21" xfId="0" applyNumberFormat="1" applyFont="1" applyBorder="1" applyAlignment="1">
      <alignment horizontal="right" indent="1"/>
    </xf>
    <xf numFmtId="3" fontId="3" fillId="0" borderId="2" xfId="0" applyNumberFormat="1" applyFont="1" applyBorder="1" applyAlignment="1">
      <alignment horizontal="right" indent="1"/>
    </xf>
    <xf numFmtId="3" fontId="6" fillId="0" borderId="33" xfId="0" applyNumberFormat="1" applyFont="1" applyBorder="1" applyAlignment="1">
      <alignment horizontal="right" indent="1"/>
    </xf>
    <xf numFmtId="3" fontId="0" fillId="0" borderId="36" xfId="0" applyNumberFormat="1" applyBorder="1" applyAlignment="1">
      <alignment horizontal="right" indent="1"/>
    </xf>
    <xf numFmtId="3" fontId="0" fillId="0" borderId="34" xfId="0" applyNumberFormat="1" applyBorder="1" applyAlignment="1">
      <alignment horizontal="right" indent="1"/>
    </xf>
    <xf numFmtId="3" fontId="5" fillId="0" borderId="19" xfId="0" applyNumberFormat="1" applyFont="1" applyBorder="1" applyAlignment="1">
      <alignment horizontal="right" indent="1"/>
    </xf>
    <xf numFmtId="3" fontId="3" fillId="0" borderId="20" xfId="0" applyNumberFormat="1" applyFont="1" applyBorder="1" applyAlignment="1">
      <alignment horizontal="right" indent="1"/>
    </xf>
    <xf numFmtId="3" fontId="3" fillId="0" borderId="21" xfId="0" applyNumberFormat="1" applyFont="1" applyBorder="1" applyAlignment="1">
      <alignment horizontal="right" indent="1"/>
    </xf>
    <xf numFmtId="2" fontId="6" fillId="0" borderId="33" xfId="0" applyNumberFormat="1" applyFont="1" applyBorder="1" applyAlignment="1">
      <alignment horizontal="right" indent="1"/>
    </xf>
    <xf numFmtId="3" fontId="2" fillId="0" borderId="1" xfId="0" applyNumberFormat="1" applyFont="1" applyBorder="1" applyAlignment="1">
      <alignment horizontal="right" indent="1"/>
    </xf>
    <xf numFmtId="3" fontId="2" fillId="0" borderId="1" xfId="0" applyNumberFormat="1" applyFont="1" applyFill="1" applyBorder="1" applyAlignment="1">
      <alignment horizontal="right" indent="1"/>
    </xf>
    <xf numFmtId="0" fontId="2" fillId="0" borderId="1" xfId="0" applyFont="1" applyFill="1" applyBorder="1"/>
    <xf numFmtId="0" fontId="11" fillId="0" borderId="0" xfId="0" applyFont="1"/>
    <xf numFmtId="0" fontId="0" fillId="0" borderId="5" xfId="0" applyBorder="1"/>
    <xf numFmtId="0" fontId="0" fillId="0" borderId="7" xfId="0" applyBorder="1" applyAlignment="1">
      <alignment horizontal="right" indent="1"/>
    </xf>
    <xf numFmtId="0" fontId="0" fillId="0" borderId="10" xfId="0" applyBorder="1" applyAlignment="1">
      <alignment horizontal="right" indent="1"/>
    </xf>
    <xf numFmtId="0" fontId="0" fillId="0" borderId="11" xfId="0" applyBorder="1"/>
    <xf numFmtId="0" fontId="0" fillId="0" borderId="13" xfId="0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0" fillId="0" borderId="7" xfId="0" applyBorder="1"/>
    <xf numFmtId="0" fontId="0" fillId="0" borderId="13" xfId="0" applyBorder="1"/>
    <xf numFmtId="0" fontId="0" fillId="0" borderId="9" xfId="0" applyFill="1" applyBorder="1" applyAlignment="1">
      <alignment horizontal="right" indent="1"/>
    </xf>
    <xf numFmtId="0" fontId="0" fillId="0" borderId="12" xfId="0" applyFill="1" applyBorder="1" applyAlignment="1">
      <alignment horizontal="right" indent="1"/>
    </xf>
    <xf numFmtId="0" fontId="0" fillId="4" borderId="0" xfId="0" applyFill="1"/>
    <xf numFmtId="164" fontId="3" fillId="0" borderId="1" xfId="1" applyFont="1" applyBorder="1" applyAlignment="1">
      <alignment horizontal="center" wrapText="1"/>
    </xf>
    <xf numFmtId="164" fontId="3" fillId="0" borderId="1" xfId="1" applyFont="1" applyBorder="1" applyAlignment="1">
      <alignment horizontal="center" vertical="center" wrapText="1"/>
    </xf>
    <xf numFmtId="164" fontId="3" fillId="0" borderId="1" xfId="1" applyFont="1" applyBorder="1" applyAlignment="1">
      <alignment horizontal="center" vertical="center"/>
    </xf>
    <xf numFmtId="164" fontId="3" fillId="0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3" fontId="2" fillId="5" borderId="1" xfId="0" applyNumberFormat="1" applyFont="1" applyFill="1" applyBorder="1" applyAlignment="1">
      <alignment horizontal="right" indent="1"/>
    </xf>
    <xf numFmtId="3" fontId="0" fillId="5" borderId="6" xfId="0" applyNumberFormat="1" applyFill="1" applyBorder="1" applyAlignment="1">
      <alignment horizontal="right" indent="1"/>
    </xf>
    <xf numFmtId="3" fontId="0" fillId="5" borderId="9" xfId="0" applyNumberFormat="1" applyFill="1" applyBorder="1" applyAlignment="1">
      <alignment horizontal="right" indent="1"/>
    </xf>
    <xf numFmtId="3" fontId="0" fillId="5" borderId="7" xfId="0" applyNumberFormat="1" applyFill="1" applyBorder="1" applyAlignment="1">
      <alignment horizontal="right" indent="1"/>
    </xf>
    <xf numFmtId="3" fontId="0" fillId="5" borderId="10" xfId="0" applyNumberFormat="1" applyFill="1" applyBorder="1" applyAlignment="1">
      <alignment horizontal="right" indent="1"/>
    </xf>
    <xf numFmtId="0" fontId="10" fillId="0" borderId="0" xfId="0" applyFont="1" applyBorder="1" applyAlignment="1">
      <alignment horizontal="center" vertical="center" textRotation="90"/>
    </xf>
    <xf numFmtId="3" fontId="2" fillId="0" borderId="0" xfId="0" applyNumberFormat="1" applyFont="1" applyBorder="1"/>
    <xf numFmtId="0" fontId="0" fillId="0" borderId="10" xfId="0" applyFill="1" applyBorder="1"/>
    <xf numFmtId="164" fontId="2" fillId="4" borderId="1" xfId="1" applyFont="1" applyFill="1" applyBorder="1"/>
    <xf numFmtId="3" fontId="3" fillId="4" borderId="1" xfId="0" applyNumberFormat="1" applyFont="1" applyFill="1" applyBorder="1" applyAlignment="1">
      <alignment horizontal="right" indent="1"/>
    </xf>
    <xf numFmtId="0" fontId="0" fillId="0" borderId="34" xfId="0" applyBorder="1" applyAlignment="1">
      <alignment horizontal="right" indent="1"/>
    </xf>
    <xf numFmtId="0" fontId="12" fillId="0" borderId="0" xfId="0" applyFont="1" applyAlignment="1">
      <alignment vertical="center"/>
    </xf>
    <xf numFmtId="164" fontId="0" fillId="0" borderId="0" xfId="1" applyFont="1"/>
    <xf numFmtId="0" fontId="0" fillId="0" borderId="33" xfId="0" applyBorder="1"/>
    <xf numFmtId="3" fontId="0" fillId="4" borderId="36" xfId="0" applyNumberFormat="1" applyFill="1" applyBorder="1" applyAlignment="1">
      <alignment horizontal="right" indent="1"/>
    </xf>
    <xf numFmtId="164" fontId="2" fillId="0" borderId="0" xfId="1" applyFont="1"/>
    <xf numFmtId="164" fontId="2" fillId="0" borderId="0" xfId="0" applyNumberFormat="1" applyFont="1"/>
    <xf numFmtId="3" fontId="0" fillId="4" borderId="9" xfId="0" applyNumberFormat="1" applyFill="1" applyBorder="1" applyAlignment="1">
      <alignment horizontal="right" indent="1"/>
    </xf>
    <xf numFmtId="0" fontId="0" fillId="5" borderId="11" xfId="0" applyFill="1" applyBorder="1"/>
    <xf numFmtId="3" fontId="0" fillId="5" borderId="12" xfId="0" applyNumberFormat="1" applyFill="1" applyBorder="1" applyAlignment="1">
      <alignment horizontal="right" indent="1"/>
    </xf>
    <xf numFmtId="3" fontId="0" fillId="4" borderId="9" xfId="0" applyNumberFormat="1" applyFont="1" applyFill="1" applyBorder="1" applyAlignment="1">
      <alignment horizontal="right" indent="1"/>
    </xf>
    <xf numFmtId="3" fontId="0" fillId="4" borderId="36" xfId="0" applyNumberFormat="1" applyFont="1" applyFill="1" applyBorder="1" applyAlignment="1">
      <alignment horizontal="right" indent="1"/>
    </xf>
    <xf numFmtId="0" fontId="0" fillId="0" borderId="5" xfId="0" applyFont="1" applyBorder="1"/>
    <xf numFmtId="0" fontId="0" fillId="0" borderId="8" xfId="0" applyFont="1" applyBorder="1"/>
    <xf numFmtId="0" fontId="0" fillId="0" borderId="11" xfId="0" applyFont="1" applyBorder="1"/>
    <xf numFmtId="3" fontId="0" fillId="0" borderId="9" xfId="0" applyNumberFormat="1" applyFont="1" applyFill="1" applyBorder="1" applyAlignment="1">
      <alignment horizontal="right" indent="1"/>
    </xf>
    <xf numFmtId="3" fontId="0" fillId="0" borderId="6" xfId="0" applyNumberFormat="1" applyFont="1" applyFill="1" applyBorder="1" applyAlignment="1">
      <alignment horizontal="right" indent="1"/>
    </xf>
    <xf numFmtId="3" fontId="0" fillId="0" borderId="12" xfId="0" applyNumberFormat="1" applyFont="1" applyFill="1" applyBorder="1" applyAlignment="1">
      <alignment horizontal="right" indent="1"/>
    </xf>
    <xf numFmtId="3" fontId="0" fillId="4" borderId="41" xfId="0" applyNumberFormat="1" applyFill="1" applyBorder="1" applyAlignment="1">
      <alignment horizontal="right" indent="1"/>
    </xf>
    <xf numFmtId="3" fontId="0" fillId="0" borderId="42" xfId="0" applyNumberFormat="1" applyFill="1" applyBorder="1" applyAlignment="1">
      <alignment horizontal="right" indent="1"/>
    </xf>
    <xf numFmtId="0" fontId="0" fillId="4" borderId="40" xfId="0" applyFill="1" applyBorder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 textRotation="90"/>
    </xf>
    <xf numFmtId="0" fontId="10" fillId="0" borderId="38" xfId="0" applyFont="1" applyBorder="1" applyAlignment="1">
      <alignment horizontal="center" vertical="center" textRotation="90"/>
    </xf>
    <xf numFmtId="0" fontId="10" fillId="0" borderId="15" xfId="0" applyFont="1" applyBorder="1" applyAlignment="1">
      <alignment horizontal="center" vertical="center" textRotation="90"/>
    </xf>
  </cellXfs>
  <cellStyles count="3">
    <cellStyle name="Čárka" xfId="1" builtinId="3"/>
    <cellStyle name="Normální" xfId="0" builtinId="0"/>
    <cellStyle name="Styl 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P35"/>
  <sheetViews>
    <sheetView topLeftCell="A14" workbookViewId="0">
      <selection activeCell="O34" sqref="O34"/>
    </sheetView>
  </sheetViews>
  <sheetFormatPr defaultRowHeight="14.4" x14ac:dyDescent="0.3"/>
  <cols>
    <col min="1" max="1" width="9" bestFit="1" customWidth="1"/>
    <col min="5" max="5" width="10.44140625" customWidth="1"/>
    <col min="6" max="6" width="2.88671875" customWidth="1"/>
    <col min="7" max="7" width="10" bestFit="1" customWidth="1"/>
    <col min="8" max="8" width="9" bestFit="1" customWidth="1"/>
    <col min="9" max="9" width="9.33203125" bestFit="1" customWidth="1"/>
    <col min="10" max="10" width="2.88671875" customWidth="1"/>
    <col min="11" max="11" width="8.44140625" bestFit="1" customWidth="1"/>
    <col min="12" max="12" width="10.5546875" customWidth="1"/>
    <col min="13" max="13" width="3" customWidth="1"/>
    <col min="14" max="14" width="10.44140625" bestFit="1" customWidth="1"/>
    <col min="16" max="16" width="1.88671875" customWidth="1"/>
    <col min="18" max="18" width="10" customWidth="1"/>
    <col min="19" max="19" width="10.109375" customWidth="1"/>
    <col min="20" max="20" width="9.6640625" customWidth="1"/>
    <col min="24" max="24" width="9.6640625" customWidth="1"/>
    <col min="26" max="26" width="9.109375" customWidth="1"/>
    <col min="27" max="27" width="8.6640625" customWidth="1"/>
  </cols>
  <sheetData>
    <row r="1" spans="1:16" s="2" customFormat="1" x14ac:dyDescent="0.3">
      <c r="A1"/>
      <c r="B1" s="272" t="s">
        <v>0</v>
      </c>
      <c r="C1" s="273"/>
      <c r="D1" s="273"/>
      <c r="E1" s="274"/>
      <c r="F1" s="3"/>
      <c r="G1" s="276" t="s">
        <v>41</v>
      </c>
      <c r="H1" s="277"/>
      <c r="I1" s="278"/>
      <c r="J1" s="3"/>
      <c r="K1" s="272" t="s">
        <v>56</v>
      </c>
      <c r="L1" s="274"/>
      <c r="M1" s="4"/>
      <c r="N1" s="272" t="s">
        <v>54</v>
      </c>
      <c r="O1" s="274"/>
      <c r="P1"/>
    </row>
    <row r="2" spans="1:16" x14ac:dyDescent="0.3">
      <c r="B2" s="33" t="s">
        <v>57</v>
      </c>
      <c r="C2" s="33" t="s">
        <v>87</v>
      </c>
      <c r="D2" s="204" t="s">
        <v>88</v>
      </c>
      <c r="E2" s="22" t="s">
        <v>1</v>
      </c>
      <c r="F2" s="4"/>
      <c r="G2" s="33" t="s">
        <v>53</v>
      </c>
      <c r="H2" s="22" t="s">
        <v>51</v>
      </c>
      <c r="I2" s="22" t="s">
        <v>45</v>
      </c>
      <c r="J2" s="4"/>
      <c r="K2" s="33" t="s">
        <v>52</v>
      </c>
      <c r="L2" s="22" t="s">
        <v>1</v>
      </c>
      <c r="M2" s="4"/>
      <c r="N2" s="33" t="s">
        <v>52</v>
      </c>
      <c r="O2" s="22" t="s">
        <v>1</v>
      </c>
    </row>
    <row r="3" spans="1:16" x14ac:dyDescent="0.3">
      <c r="A3" s="38" t="s">
        <v>2</v>
      </c>
      <c r="B3" s="202">
        <f>+C3+D3</f>
        <v>6.43</v>
      </c>
      <c r="C3" s="44">
        <v>4.53</v>
      </c>
      <c r="D3" s="42">
        <v>1.9</v>
      </c>
      <c r="E3" s="46">
        <v>7758</v>
      </c>
      <c r="F3" s="4"/>
      <c r="G3" s="56">
        <v>0</v>
      </c>
      <c r="H3" s="31">
        <v>0</v>
      </c>
      <c r="I3" s="32">
        <v>0</v>
      </c>
      <c r="J3" s="4"/>
      <c r="K3" s="34">
        <v>13</v>
      </c>
      <c r="L3" s="32">
        <v>14145</v>
      </c>
      <c r="M3" s="4"/>
      <c r="N3" s="34">
        <v>15.28</v>
      </c>
      <c r="O3" s="32">
        <v>44702.8</v>
      </c>
    </row>
    <row r="4" spans="1:16" x14ac:dyDescent="0.3">
      <c r="A4" s="39" t="s">
        <v>3</v>
      </c>
      <c r="B4" s="203">
        <f>+C4+D4</f>
        <v>5.1100000000000003</v>
      </c>
      <c r="C4" s="45">
        <v>1.43</v>
      </c>
      <c r="D4" s="43">
        <v>3.68</v>
      </c>
      <c r="E4" s="41">
        <v>3771</v>
      </c>
      <c r="F4" s="4"/>
      <c r="G4" s="57">
        <v>460</v>
      </c>
      <c r="H4" s="28">
        <v>8404.67</v>
      </c>
      <c r="I4" s="29">
        <v>1781.12</v>
      </c>
      <c r="J4" s="4"/>
      <c r="K4" s="27">
        <v>27.3</v>
      </c>
      <c r="L4" s="29">
        <v>18860</v>
      </c>
      <c r="M4" s="4"/>
      <c r="N4" s="27">
        <v>7.28</v>
      </c>
      <c r="O4" s="29">
        <v>22351.4</v>
      </c>
    </row>
    <row r="5" spans="1:16" x14ac:dyDescent="0.3">
      <c r="A5" s="39" t="s">
        <v>4</v>
      </c>
      <c r="B5" s="203">
        <f t="shared" ref="B5:B14" si="0">+C5+D5</f>
        <v>8.66</v>
      </c>
      <c r="C5" s="45">
        <v>8.56</v>
      </c>
      <c r="D5" s="43">
        <v>0.1</v>
      </c>
      <c r="E5" s="41">
        <v>8285</v>
      </c>
      <c r="F5" s="4"/>
      <c r="G5" s="57">
        <v>0</v>
      </c>
      <c r="H5" s="28">
        <v>0</v>
      </c>
      <c r="I5" s="29">
        <v>0</v>
      </c>
      <c r="J5" s="4"/>
      <c r="K5" s="27">
        <v>15.9</v>
      </c>
      <c r="L5" s="29">
        <v>16502.5</v>
      </c>
      <c r="M5" s="4"/>
      <c r="N5" s="27">
        <v>15.57</v>
      </c>
      <c r="O5" s="29">
        <v>44702.8</v>
      </c>
    </row>
    <row r="6" spans="1:16" x14ac:dyDescent="0.3">
      <c r="A6" s="39" t="s">
        <v>5</v>
      </c>
      <c r="B6" s="203">
        <f t="shared" si="0"/>
        <v>52.3</v>
      </c>
      <c r="C6" s="45">
        <v>51.33</v>
      </c>
      <c r="D6" s="43">
        <v>0.97</v>
      </c>
      <c r="E6" s="41">
        <v>45502</v>
      </c>
      <c r="F6" s="4"/>
      <c r="G6" s="57">
        <v>680</v>
      </c>
      <c r="H6" s="28">
        <v>12424.28</v>
      </c>
      <c r="I6" s="29">
        <v>1781.12</v>
      </c>
      <c r="J6" s="4"/>
      <c r="K6" s="27">
        <v>36.299999999999997</v>
      </c>
      <c r="L6" s="29">
        <v>30647.5</v>
      </c>
      <c r="M6" s="4"/>
      <c r="N6" s="27">
        <v>23.31</v>
      </c>
      <c r="O6" s="29">
        <v>61466.35</v>
      </c>
    </row>
    <row r="7" spans="1:16" x14ac:dyDescent="0.3">
      <c r="A7" s="39" t="s">
        <v>6</v>
      </c>
      <c r="B7" s="203">
        <f t="shared" si="0"/>
        <v>41.419999999999995</v>
      </c>
      <c r="C7" s="45">
        <v>36.619999999999997</v>
      </c>
      <c r="D7" s="43">
        <v>4.8</v>
      </c>
      <c r="E7" s="41">
        <v>32830</v>
      </c>
      <c r="F7" s="4"/>
      <c r="G7" s="57">
        <v>607</v>
      </c>
      <c r="H7" s="28">
        <v>7932.27</v>
      </c>
      <c r="I7" s="29">
        <v>1781.12</v>
      </c>
      <c r="J7" s="4"/>
      <c r="K7" s="27">
        <v>31.12</v>
      </c>
      <c r="L7" s="29">
        <v>25932.5</v>
      </c>
      <c r="M7" s="4"/>
      <c r="N7" s="27">
        <v>31.67</v>
      </c>
      <c r="O7" s="29">
        <v>72642.05</v>
      </c>
    </row>
    <row r="8" spans="1:16" x14ac:dyDescent="0.3">
      <c r="A8" s="39" t="s">
        <v>7</v>
      </c>
      <c r="B8" s="203">
        <f t="shared" si="0"/>
        <v>20.309999999999999</v>
      </c>
      <c r="C8" s="45">
        <v>20.11</v>
      </c>
      <c r="D8" s="43">
        <v>0.2</v>
      </c>
      <c r="E8" s="41">
        <v>19862</v>
      </c>
      <c r="F8" s="4"/>
      <c r="G8" s="57">
        <v>275</v>
      </c>
      <c r="H8" s="28">
        <v>3593.7</v>
      </c>
      <c r="I8" s="29">
        <v>1781.12</v>
      </c>
      <c r="J8" s="4"/>
      <c r="K8" s="27">
        <v>27</v>
      </c>
      <c r="L8" s="29">
        <v>25932.5</v>
      </c>
      <c r="M8" s="4"/>
      <c r="N8" s="27">
        <v>21.91</v>
      </c>
      <c r="O8" s="29">
        <v>61466.35</v>
      </c>
    </row>
    <row r="9" spans="1:16" x14ac:dyDescent="0.3">
      <c r="A9" s="39" t="s">
        <v>8</v>
      </c>
      <c r="B9" s="203">
        <f t="shared" si="0"/>
        <v>24.310000000000002</v>
      </c>
      <c r="C9" s="45">
        <v>21.53</v>
      </c>
      <c r="D9" s="43">
        <v>2.78</v>
      </c>
      <c r="E9" s="41">
        <v>23131</v>
      </c>
      <c r="F9" s="4"/>
      <c r="G9" s="57">
        <v>634</v>
      </c>
      <c r="H9" s="28">
        <v>8285.11</v>
      </c>
      <c r="I9" s="29">
        <v>1781.12</v>
      </c>
      <c r="J9" s="4"/>
      <c r="K9" s="27">
        <v>25.02</v>
      </c>
      <c r="L9" s="29">
        <v>25932.5</v>
      </c>
      <c r="M9" s="4"/>
      <c r="N9" s="27">
        <v>28.73</v>
      </c>
      <c r="O9" s="29">
        <v>78229.899999999994</v>
      </c>
    </row>
    <row r="10" spans="1:16" x14ac:dyDescent="0.3">
      <c r="A10" s="39" t="s">
        <v>9</v>
      </c>
      <c r="B10" s="203">
        <f t="shared" si="0"/>
        <v>19.54</v>
      </c>
      <c r="C10" s="45">
        <v>18.79</v>
      </c>
      <c r="D10" s="43">
        <v>0.75</v>
      </c>
      <c r="E10" s="41">
        <v>18546</v>
      </c>
      <c r="F10" s="4"/>
      <c r="G10" s="57">
        <v>0</v>
      </c>
      <c r="H10" s="28">
        <v>0</v>
      </c>
      <c r="I10" s="29">
        <v>0</v>
      </c>
      <c r="J10" s="4"/>
      <c r="K10" s="27">
        <v>28.24</v>
      </c>
      <c r="L10" s="29">
        <v>23575</v>
      </c>
      <c r="M10" s="4"/>
      <c r="N10" s="27">
        <v>28.47</v>
      </c>
      <c r="O10" s="29">
        <v>83817.75</v>
      </c>
    </row>
    <row r="11" spans="1:16" x14ac:dyDescent="0.3">
      <c r="A11" s="39" t="s">
        <v>10</v>
      </c>
      <c r="B11" s="203">
        <f t="shared" si="0"/>
        <v>38.57</v>
      </c>
      <c r="C11" s="45">
        <v>37.770000000000003</v>
      </c>
      <c r="D11" s="43">
        <v>0.8</v>
      </c>
      <c r="E11" s="41">
        <v>25790</v>
      </c>
      <c r="F11" s="4"/>
      <c r="G11" s="57">
        <v>553</v>
      </c>
      <c r="H11" s="28">
        <v>7226.6</v>
      </c>
      <c r="I11" s="29">
        <v>1781.12</v>
      </c>
      <c r="J11" s="4"/>
      <c r="K11" s="27">
        <v>19.899999999999999</v>
      </c>
      <c r="L11" s="29">
        <v>18860</v>
      </c>
      <c r="M11" s="4"/>
      <c r="N11" s="27">
        <v>29.26</v>
      </c>
      <c r="O11" s="29">
        <v>67054.2</v>
      </c>
    </row>
    <row r="12" spans="1:16" x14ac:dyDescent="0.3">
      <c r="A12" s="39" t="s">
        <v>11</v>
      </c>
      <c r="B12" s="203">
        <f t="shared" si="0"/>
        <v>37.92</v>
      </c>
      <c r="C12" s="45">
        <v>36.22</v>
      </c>
      <c r="D12" s="43">
        <v>1.7</v>
      </c>
      <c r="E12" s="41">
        <v>37171</v>
      </c>
      <c r="F12" s="4"/>
      <c r="G12" s="57">
        <v>295</v>
      </c>
      <c r="H12" s="28">
        <v>3855.06</v>
      </c>
      <c r="I12" s="29">
        <v>1781.12</v>
      </c>
      <c r="J12" s="4"/>
      <c r="K12" s="27">
        <v>24.5</v>
      </c>
      <c r="L12" s="29">
        <v>21217.5</v>
      </c>
      <c r="M12" s="4"/>
      <c r="N12" s="27">
        <v>24.85</v>
      </c>
      <c r="O12" s="29">
        <v>72642.05</v>
      </c>
    </row>
    <row r="13" spans="1:16" x14ac:dyDescent="0.3">
      <c r="A13" s="39" t="s">
        <v>12</v>
      </c>
      <c r="B13" s="203">
        <f t="shared" si="0"/>
        <v>34.58</v>
      </c>
      <c r="C13" s="45">
        <v>33.119999999999997</v>
      </c>
      <c r="D13" s="43">
        <v>1.46</v>
      </c>
      <c r="E13" s="41">
        <v>36261</v>
      </c>
      <c r="F13" s="4"/>
      <c r="G13" s="57">
        <v>588</v>
      </c>
      <c r="H13" s="28">
        <v>7683.98</v>
      </c>
      <c r="I13" s="29">
        <v>1781.12</v>
      </c>
      <c r="J13" s="4"/>
      <c r="K13" s="27">
        <v>13.75</v>
      </c>
      <c r="L13" s="29">
        <v>16502.5</v>
      </c>
      <c r="M13" s="4"/>
      <c r="N13" s="27">
        <v>24.4</v>
      </c>
      <c r="O13" s="29">
        <v>78229.899999999994</v>
      </c>
    </row>
    <row r="14" spans="1:16" x14ac:dyDescent="0.3">
      <c r="A14" s="94" t="s">
        <v>13</v>
      </c>
      <c r="B14" s="205">
        <f t="shared" si="0"/>
        <v>7.26</v>
      </c>
      <c r="C14" s="206">
        <v>7.26</v>
      </c>
      <c r="D14" s="207">
        <v>0</v>
      </c>
      <c r="E14" s="208">
        <v>7529</v>
      </c>
      <c r="F14" s="4"/>
      <c r="G14" s="213">
        <v>0</v>
      </c>
      <c r="H14" s="214">
        <v>0</v>
      </c>
      <c r="I14" s="215">
        <v>0</v>
      </c>
      <c r="J14" s="4"/>
      <c r="K14" s="219">
        <v>13.26</v>
      </c>
      <c r="L14" s="215">
        <v>14145</v>
      </c>
      <c r="M14" s="4"/>
      <c r="N14" s="219">
        <v>16.100000000000001</v>
      </c>
      <c r="O14" s="215">
        <v>44702.8</v>
      </c>
    </row>
    <row r="15" spans="1:16" s="2" customFormat="1" x14ac:dyDescent="0.3">
      <c r="A15" s="1" t="s">
        <v>14</v>
      </c>
      <c r="B15" s="209">
        <f>SUM(B3:B14)</f>
        <v>296.40999999999997</v>
      </c>
      <c r="C15" s="210">
        <f>SUM(C3:C14)</f>
        <v>277.27</v>
      </c>
      <c r="D15" s="211">
        <f>SUM(D3:D14)</f>
        <v>19.14</v>
      </c>
      <c r="E15" s="212">
        <f>SUM(E3:E14)</f>
        <v>266436</v>
      </c>
      <c r="F15" s="3"/>
      <c r="G15" s="216">
        <f>SUM(G3:G14)</f>
        <v>4092</v>
      </c>
      <c r="H15" s="217">
        <f>SUM(H3:H14)</f>
        <v>59405.67</v>
      </c>
      <c r="I15" s="218">
        <f>SUM(I3:I14)</f>
        <v>14248.959999999995</v>
      </c>
      <c r="J15" s="3"/>
      <c r="K15" s="209">
        <f>SUM(K3:K14)</f>
        <v>275.29000000000002</v>
      </c>
      <c r="L15" s="218">
        <f>SUM(L3:L14)</f>
        <v>252252.5</v>
      </c>
      <c r="M15" s="4"/>
      <c r="N15" s="209">
        <f>SUM(N3:N14)</f>
        <v>266.83</v>
      </c>
      <c r="O15" s="218">
        <f>SUM(O3:O14)</f>
        <v>732008.35000000009</v>
      </c>
      <c r="P15"/>
    </row>
    <row r="16" spans="1:16" s="4" customFormat="1" x14ac:dyDescent="0.3">
      <c r="E16" s="4" t="s">
        <v>59</v>
      </c>
      <c r="P16"/>
    </row>
    <row r="17" spans="1:15" x14ac:dyDescent="0.3">
      <c r="A17" s="4"/>
      <c r="B17" s="4"/>
    </row>
    <row r="18" spans="1:15" x14ac:dyDescent="0.3">
      <c r="B18" s="276" t="s">
        <v>50</v>
      </c>
      <c r="C18" s="277"/>
      <c r="D18" s="278"/>
      <c r="G18" s="276" t="s">
        <v>22</v>
      </c>
      <c r="H18" s="277"/>
      <c r="I18" s="278"/>
      <c r="K18" s="275" t="s">
        <v>58</v>
      </c>
      <c r="L18" s="275"/>
      <c r="N18" s="275" t="s">
        <v>55</v>
      </c>
      <c r="O18" s="275"/>
    </row>
    <row r="19" spans="1:15" x14ac:dyDescent="0.3">
      <c r="B19" s="33" t="s">
        <v>52</v>
      </c>
      <c r="C19" s="22" t="s">
        <v>51</v>
      </c>
      <c r="D19" s="22" t="s">
        <v>45</v>
      </c>
      <c r="G19" s="33" t="s">
        <v>53</v>
      </c>
      <c r="H19" s="37" t="s">
        <v>1</v>
      </c>
      <c r="I19" s="22" t="s">
        <v>45</v>
      </c>
      <c r="K19" s="22" t="s">
        <v>45</v>
      </c>
      <c r="L19" s="22" t="s">
        <v>46</v>
      </c>
      <c r="N19" s="33" t="s">
        <v>48</v>
      </c>
      <c r="O19" s="22" t="s">
        <v>49</v>
      </c>
    </row>
    <row r="20" spans="1:15" x14ac:dyDescent="0.3">
      <c r="A20" s="38" t="s">
        <v>2</v>
      </c>
      <c r="B20" s="34">
        <v>0.62</v>
      </c>
      <c r="C20" s="31">
        <v>1402.87</v>
      </c>
      <c r="D20" s="32">
        <v>1058</v>
      </c>
      <c r="G20" s="56">
        <v>1350</v>
      </c>
      <c r="H20" s="47">
        <v>4455</v>
      </c>
      <c r="I20" s="32">
        <v>621</v>
      </c>
      <c r="K20" s="35">
        <v>687.7</v>
      </c>
      <c r="L20" s="32">
        <v>922.02</v>
      </c>
      <c r="N20" s="35"/>
      <c r="O20" s="32"/>
    </row>
    <row r="21" spans="1:15" x14ac:dyDescent="0.3">
      <c r="A21" s="39" t="s">
        <v>3</v>
      </c>
      <c r="B21" s="27">
        <v>0.66</v>
      </c>
      <c r="C21" s="28">
        <v>1493.38</v>
      </c>
      <c r="D21" s="29">
        <v>1058</v>
      </c>
      <c r="G21" s="57">
        <v>1570</v>
      </c>
      <c r="H21" s="48">
        <v>5181</v>
      </c>
      <c r="I21" s="29">
        <v>1242</v>
      </c>
      <c r="K21" s="36">
        <v>1375.4</v>
      </c>
      <c r="L21" s="29">
        <v>922.02</v>
      </c>
      <c r="N21" s="36"/>
      <c r="O21" s="29"/>
    </row>
    <row r="22" spans="1:15" x14ac:dyDescent="0.3">
      <c r="A22" s="39" t="s">
        <v>4</v>
      </c>
      <c r="B22" s="27">
        <v>0</v>
      </c>
      <c r="C22" s="28">
        <v>0</v>
      </c>
      <c r="D22" s="29">
        <v>0</v>
      </c>
      <c r="G22" s="57">
        <v>1880</v>
      </c>
      <c r="H22" s="48">
        <v>6204</v>
      </c>
      <c r="I22" s="29">
        <v>1242</v>
      </c>
      <c r="K22" s="36">
        <v>1375.4</v>
      </c>
      <c r="L22" s="29">
        <v>922.02</v>
      </c>
      <c r="N22" s="36"/>
      <c r="O22" s="29"/>
    </row>
    <row r="23" spans="1:15" x14ac:dyDescent="0.3">
      <c r="A23" s="39" t="s">
        <v>5</v>
      </c>
      <c r="B23" s="27">
        <v>1.22</v>
      </c>
      <c r="C23" s="28">
        <v>2760.49</v>
      </c>
      <c r="D23" s="29">
        <v>2116</v>
      </c>
      <c r="G23" s="57">
        <v>2800</v>
      </c>
      <c r="H23" s="48">
        <v>9240</v>
      </c>
      <c r="I23" s="29">
        <v>1863</v>
      </c>
      <c r="K23" s="36">
        <v>2063.1</v>
      </c>
      <c r="L23" s="29">
        <v>922.02</v>
      </c>
      <c r="N23" s="36"/>
      <c r="O23" s="29"/>
    </row>
    <row r="24" spans="1:15" x14ac:dyDescent="0.3">
      <c r="A24" s="39" t="s">
        <v>6</v>
      </c>
      <c r="B24" s="201">
        <v>0.61</v>
      </c>
      <c r="C24" s="28">
        <v>1380.25</v>
      </c>
      <c r="D24" s="29">
        <v>2116</v>
      </c>
      <c r="G24" s="57">
        <v>2950</v>
      </c>
      <c r="H24" s="48">
        <v>9451</v>
      </c>
      <c r="I24" s="29">
        <v>2484</v>
      </c>
      <c r="K24" s="36">
        <v>2750.8</v>
      </c>
      <c r="L24" s="29">
        <v>922.02</v>
      </c>
      <c r="N24" s="36"/>
      <c r="O24" s="29"/>
    </row>
    <row r="25" spans="1:15" x14ac:dyDescent="0.3">
      <c r="A25" s="39" t="s">
        <v>7</v>
      </c>
      <c r="B25" s="201">
        <v>0.65</v>
      </c>
      <c r="C25" s="28">
        <v>1683.11</v>
      </c>
      <c r="D25" s="29">
        <v>1058</v>
      </c>
      <c r="G25" s="57">
        <v>2060</v>
      </c>
      <c r="H25" s="48">
        <v>6798</v>
      </c>
      <c r="I25" s="29">
        <v>1863</v>
      </c>
      <c r="K25" s="36">
        <v>2063.1</v>
      </c>
      <c r="L25" s="29">
        <v>922.02</v>
      </c>
      <c r="N25" s="36"/>
      <c r="O25" s="29"/>
    </row>
    <row r="26" spans="1:15" x14ac:dyDescent="0.3">
      <c r="A26" s="39" t="s">
        <v>8</v>
      </c>
      <c r="B26" s="201">
        <v>0.69</v>
      </c>
      <c r="C26" s="28">
        <v>1669.8</v>
      </c>
      <c r="D26" s="29">
        <v>1058</v>
      </c>
      <c r="G26" s="57">
        <v>1720</v>
      </c>
      <c r="H26" s="48">
        <v>5676</v>
      </c>
      <c r="I26" s="29">
        <v>1242</v>
      </c>
      <c r="K26" s="36">
        <v>2750.8</v>
      </c>
      <c r="L26" s="29">
        <v>922.02</v>
      </c>
      <c r="N26" s="36">
        <v>779.7</v>
      </c>
      <c r="O26" s="29"/>
    </row>
    <row r="27" spans="1:15" x14ac:dyDescent="0.3">
      <c r="A27" s="39" t="s">
        <v>9</v>
      </c>
      <c r="B27" s="201">
        <v>0.65</v>
      </c>
      <c r="C27" s="28">
        <v>1573</v>
      </c>
      <c r="D27" s="29">
        <v>1058</v>
      </c>
      <c r="G27" s="57">
        <v>3010</v>
      </c>
      <c r="H27" s="48">
        <v>9573</v>
      </c>
      <c r="I27" s="29">
        <v>2484</v>
      </c>
      <c r="K27" s="36">
        <v>2750.8</v>
      </c>
      <c r="L27" s="29">
        <v>922.02</v>
      </c>
      <c r="N27" s="36">
        <v>779.7</v>
      </c>
      <c r="O27" s="29"/>
    </row>
    <row r="28" spans="1:15" x14ac:dyDescent="0.3">
      <c r="A28" s="39" t="s">
        <v>10</v>
      </c>
      <c r="B28" s="201">
        <v>0.56000000000000005</v>
      </c>
      <c r="C28" s="28">
        <v>1355.2</v>
      </c>
      <c r="D28" s="29">
        <v>1058</v>
      </c>
      <c r="G28" s="57">
        <v>1850</v>
      </c>
      <c r="H28" s="48">
        <v>4819</v>
      </c>
      <c r="I28" s="29">
        <v>621</v>
      </c>
      <c r="K28" s="36">
        <v>2063.1</v>
      </c>
      <c r="L28" s="29">
        <v>922.02</v>
      </c>
      <c r="N28" s="36"/>
      <c r="O28" s="29"/>
    </row>
    <row r="29" spans="1:15" x14ac:dyDescent="0.3">
      <c r="A29" s="39" t="s">
        <v>11</v>
      </c>
      <c r="B29" s="201">
        <v>0.72</v>
      </c>
      <c r="C29" s="28">
        <v>1742.4</v>
      </c>
      <c r="D29" s="29">
        <v>1058</v>
      </c>
      <c r="G29" s="57">
        <v>2530</v>
      </c>
      <c r="H29" s="48">
        <v>8855</v>
      </c>
      <c r="I29" s="29">
        <v>1863</v>
      </c>
      <c r="K29" s="36">
        <v>2063.1</v>
      </c>
      <c r="L29" s="29">
        <v>922.02</v>
      </c>
      <c r="N29" s="36"/>
      <c r="O29" s="29"/>
    </row>
    <row r="30" spans="1:15" x14ac:dyDescent="0.3">
      <c r="A30" s="39" t="s">
        <v>12</v>
      </c>
      <c r="B30" s="201">
        <v>1.17</v>
      </c>
      <c r="C30" s="28">
        <v>3418.25</v>
      </c>
      <c r="D30" s="29">
        <v>2116</v>
      </c>
      <c r="G30" s="57">
        <v>1440</v>
      </c>
      <c r="H30" s="48">
        <v>5040</v>
      </c>
      <c r="I30" s="29">
        <v>1242</v>
      </c>
      <c r="K30" s="36">
        <v>2063.1</v>
      </c>
      <c r="L30" s="29">
        <v>922.02</v>
      </c>
      <c r="N30" s="36"/>
      <c r="O30" s="29">
        <v>1983.75</v>
      </c>
    </row>
    <row r="31" spans="1:15" x14ac:dyDescent="0.3">
      <c r="A31" s="52" t="s">
        <v>13</v>
      </c>
      <c r="B31" s="53">
        <v>0.6</v>
      </c>
      <c r="C31" s="54">
        <v>1815</v>
      </c>
      <c r="D31" s="55">
        <v>1058</v>
      </c>
      <c r="G31" s="60">
        <v>740</v>
      </c>
      <c r="H31" s="61">
        <v>2590</v>
      </c>
      <c r="I31" s="55">
        <v>621</v>
      </c>
      <c r="K31" s="63">
        <v>687</v>
      </c>
      <c r="L31" s="55">
        <v>922.02</v>
      </c>
      <c r="N31" s="63"/>
      <c r="O31" s="55">
        <v>661.25</v>
      </c>
    </row>
    <row r="32" spans="1:15" x14ac:dyDescent="0.3">
      <c r="A32" s="30" t="s">
        <v>14</v>
      </c>
      <c r="B32" s="49">
        <f>SUM(B20:B31)</f>
        <v>8.15</v>
      </c>
      <c r="C32" s="50">
        <f>SUM(C20:C31)</f>
        <v>20293.75</v>
      </c>
      <c r="D32" s="51">
        <f>SUM(D20:D31)</f>
        <v>14812</v>
      </c>
      <c r="G32" s="58">
        <f>SUM(G20:G31)</f>
        <v>23900</v>
      </c>
      <c r="H32" s="59">
        <f>SUM(H20:H31)</f>
        <v>77882</v>
      </c>
      <c r="I32" s="51">
        <f>SUM(I20:I31)</f>
        <v>17388</v>
      </c>
      <c r="K32" s="62">
        <f>SUM(K20:K31)</f>
        <v>22693.399999999998</v>
      </c>
      <c r="L32" s="51">
        <f>SUM(L20:L31)</f>
        <v>11064.240000000003</v>
      </c>
      <c r="N32" s="62">
        <f>SUM(N20:N31)</f>
        <v>1559.4</v>
      </c>
      <c r="O32" s="51">
        <f>SUM(O29:O31)</f>
        <v>2645</v>
      </c>
    </row>
    <row r="34" spans="7:12" x14ac:dyDescent="0.3">
      <c r="G34" s="68" t="s">
        <v>64</v>
      </c>
      <c r="H34" s="69"/>
      <c r="I34" s="69"/>
      <c r="J34" s="69"/>
      <c r="K34" s="69"/>
      <c r="L34" s="250">
        <f>+E15+H15+I15+L15+O15+C32+D32+I32+K32+L32+N32+O32</f>
        <v>1414807.2699999998</v>
      </c>
    </row>
    <row r="35" spans="7:12" x14ac:dyDescent="0.3">
      <c r="G35" s="223" t="s">
        <v>65</v>
      </c>
    </row>
  </sheetData>
  <mergeCells count="8">
    <mergeCell ref="B1:E1"/>
    <mergeCell ref="K1:L1"/>
    <mergeCell ref="N18:O18"/>
    <mergeCell ref="G18:I18"/>
    <mergeCell ref="K18:L18"/>
    <mergeCell ref="B18:D18"/>
    <mergeCell ref="G1:I1"/>
    <mergeCell ref="N1:O1"/>
  </mergeCells>
  <pageMargins left="0.70866141732283472" right="0.70866141732283472" top="0.59055118110236227" bottom="0.59055118110236227" header="0.31496062992125984" footer="0.31496062992125984"/>
  <pageSetup paperSize="9" orientation="landscape" r:id="rId1"/>
  <headerFooter>
    <oddFooter>&amp;L&amp;F&amp;C&amp;D  &amp;T&amp;R&amp;A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B1:I23"/>
  <sheetViews>
    <sheetView workbookViewId="0">
      <selection activeCell="E17" sqref="E17"/>
    </sheetView>
  </sheetViews>
  <sheetFormatPr defaultRowHeight="14.4" x14ac:dyDescent="0.3"/>
  <cols>
    <col min="2" max="2" width="13.6640625" bestFit="1" customWidth="1"/>
    <col min="3" max="3" width="12.33203125" customWidth="1"/>
    <col min="4" max="4" width="12.44140625" bestFit="1" customWidth="1"/>
    <col min="5" max="5" width="12.44140625" customWidth="1"/>
    <col min="7" max="7" width="11.33203125" customWidth="1"/>
    <col min="8" max="8" width="10.88671875" customWidth="1"/>
    <col min="9" max="9" width="11.6640625" customWidth="1"/>
  </cols>
  <sheetData>
    <row r="1" spans="2:9" x14ac:dyDescent="0.3">
      <c r="B1" s="4"/>
      <c r="C1" s="4"/>
      <c r="D1" s="4"/>
    </row>
    <row r="2" spans="2:9" ht="30.75" customHeight="1" x14ac:dyDescent="0.3">
      <c r="B2" s="4"/>
      <c r="C2" s="26" t="s">
        <v>62</v>
      </c>
      <c r="D2" s="26" t="s">
        <v>18</v>
      </c>
      <c r="E2" s="26" t="s">
        <v>36</v>
      </c>
      <c r="H2" s="279" t="s">
        <v>61</v>
      </c>
      <c r="I2" s="280"/>
    </row>
    <row r="3" spans="2:9" x14ac:dyDescent="0.3">
      <c r="B3" s="38" t="s">
        <v>23</v>
      </c>
      <c r="C3" s="72">
        <v>167088.5</v>
      </c>
      <c r="D3" s="72">
        <v>5806.79</v>
      </c>
      <c r="E3" s="72">
        <v>2294.16</v>
      </c>
      <c r="H3" s="67" t="s">
        <v>37</v>
      </c>
      <c r="I3" s="71" t="s">
        <v>38</v>
      </c>
    </row>
    <row r="4" spans="2:9" x14ac:dyDescent="0.3">
      <c r="B4" s="39" t="s">
        <v>24</v>
      </c>
      <c r="C4" s="73">
        <v>191829.5</v>
      </c>
      <c r="D4" s="73"/>
      <c r="E4" s="73">
        <v>2109.27</v>
      </c>
      <c r="G4" s="38" t="s">
        <v>2</v>
      </c>
      <c r="H4" s="35">
        <v>4206</v>
      </c>
      <c r="I4" s="35">
        <v>4455</v>
      </c>
    </row>
    <row r="5" spans="2:9" x14ac:dyDescent="0.3">
      <c r="B5" s="39" t="s">
        <v>25</v>
      </c>
      <c r="C5" s="73">
        <v>187351.5</v>
      </c>
      <c r="D5" s="73"/>
      <c r="E5" s="73">
        <v>2632.96</v>
      </c>
      <c r="G5" s="39" t="s">
        <v>3</v>
      </c>
      <c r="H5" s="36">
        <v>3612</v>
      </c>
      <c r="I5" s="36">
        <v>5181</v>
      </c>
    </row>
    <row r="6" spans="2:9" x14ac:dyDescent="0.3">
      <c r="B6" s="52" t="s">
        <v>26</v>
      </c>
      <c r="C6" s="74">
        <v>174464.5</v>
      </c>
      <c r="D6" s="74">
        <v>21398</v>
      </c>
      <c r="E6" s="74">
        <v>1140</v>
      </c>
      <c r="G6" s="39" t="s">
        <v>4</v>
      </c>
      <c r="H6" s="36">
        <v>3772</v>
      </c>
      <c r="I6" s="36">
        <v>6204</v>
      </c>
    </row>
    <row r="7" spans="2:9" x14ac:dyDescent="0.3">
      <c r="B7" s="222" t="s">
        <v>60</v>
      </c>
      <c r="C7" s="220">
        <f>SUM(C3:C6)</f>
        <v>720734</v>
      </c>
      <c r="D7" s="220">
        <f>SUM(D3:D6)</f>
        <v>27204.79</v>
      </c>
      <c r="E7" s="220">
        <f>SUM(E3:E6)</f>
        <v>8176.39</v>
      </c>
      <c r="G7" s="39" t="s">
        <v>5</v>
      </c>
      <c r="H7" s="36">
        <v>4133</v>
      </c>
      <c r="I7" s="36">
        <v>9240</v>
      </c>
    </row>
    <row r="8" spans="2:9" x14ac:dyDescent="0.3">
      <c r="D8" s="4"/>
      <c r="G8" s="39" t="s">
        <v>6</v>
      </c>
      <c r="H8" s="36">
        <v>3766</v>
      </c>
      <c r="I8" s="36">
        <v>9451</v>
      </c>
    </row>
    <row r="9" spans="2:9" x14ac:dyDescent="0.3">
      <c r="G9" s="39" t="s">
        <v>7</v>
      </c>
      <c r="H9" s="36">
        <v>3512</v>
      </c>
      <c r="I9" s="36">
        <v>6798</v>
      </c>
    </row>
    <row r="10" spans="2:9" x14ac:dyDescent="0.3">
      <c r="G10" s="39" t="s">
        <v>8</v>
      </c>
      <c r="H10" s="36">
        <v>3806</v>
      </c>
      <c r="I10" s="36">
        <v>5676</v>
      </c>
    </row>
    <row r="11" spans="2:9" x14ac:dyDescent="0.3">
      <c r="G11" s="39" t="s">
        <v>9</v>
      </c>
      <c r="H11" s="36">
        <v>4012</v>
      </c>
      <c r="I11" s="36">
        <v>9573</v>
      </c>
    </row>
    <row r="12" spans="2:9" x14ac:dyDescent="0.3">
      <c r="G12" s="39" t="s">
        <v>10</v>
      </c>
      <c r="H12" s="36">
        <v>3877</v>
      </c>
      <c r="I12" s="36">
        <v>4819</v>
      </c>
    </row>
    <row r="13" spans="2:9" x14ac:dyDescent="0.3">
      <c r="G13" s="39" t="s">
        <v>11</v>
      </c>
      <c r="H13" s="36">
        <v>4011</v>
      </c>
      <c r="I13" s="36">
        <v>8855</v>
      </c>
    </row>
    <row r="14" spans="2:9" x14ac:dyDescent="0.3">
      <c r="G14" s="39" t="s">
        <v>12</v>
      </c>
      <c r="H14" s="36">
        <v>3712</v>
      </c>
      <c r="I14" s="36">
        <v>5040</v>
      </c>
    </row>
    <row r="15" spans="2:9" x14ac:dyDescent="0.3">
      <c r="G15" s="52" t="s">
        <v>13</v>
      </c>
      <c r="H15" s="63">
        <v>4247</v>
      </c>
      <c r="I15" s="63">
        <v>2590</v>
      </c>
    </row>
    <row r="16" spans="2:9" x14ac:dyDescent="0.3">
      <c r="G16" s="30" t="s">
        <v>14</v>
      </c>
      <c r="H16" s="220">
        <f>SUM(H4:H15)</f>
        <v>46666</v>
      </c>
      <c r="I16" s="220">
        <f>SUM(I4:I15)</f>
        <v>77882</v>
      </c>
    </row>
    <row r="19" spans="2:5" x14ac:dyDescent="0.3">
      <c r="B19" s="68" t="s">
        <v>63</v>
      </c>
      <c r="C19" s="69"/>
      <c r="D19" s="70"/>
      <c r="E19" s="221">
        <f>+C7+D7+E7+I16+H16</f>
        <v>880663.18</v>
      </c>
    </row>
    <row r="23" spans="2:5" x14ac:dyDescent="0.3">
      <c r="E23" s="6"/>
    </row>
  </sheetData>
  <mergeCells count="1">
    <mergeCell ref="H2:I2"/>
  </mergeCells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&amp;L&amp;F&amp;C&amp;D  &amp;T&amp;R&amp;A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5D425-3CFA-4602-B768-B8C07E5C60CC}">
  <sheetPr>
    <tabColor rgb="FFFF0000"/>
    <pageSetUpPr fitToPage="1"/>
  </sheetPr>
  <dimension ref="B1:G49"/>
  <sheetViews>
    <sheetView tabSelected="1" workbookViewId="0">
      <selection activeCell="F50" sqref="F50"/>
    </sheetView>
  </sheetViews>
  <sheetFormatPr defaultRowHeight="14.4" x14ac:dyDescent="0.3"/>
  <cols>
    <col min="1" max="1" width="3" customWidth="1"/>
    <col min="2" max="2" width="7.44140625" bestFit="1" customWidth="1"/>
    <col min="3" max="3" width="30.44140625" customWidth="1"/>
    <col min="4" max="4" width="12.6640625" customWidth="1"/>
    <col min="5" max="5" width="13.33203125" customWidth="1"/>
    <col min="6" max="6" width="10.6640625" customWidth="1"/>
    <col min="7" max="7" width="32" bestFit="1" customWidth="1"/>
  </cols>
  <sheetData>
    <row r="1" spans="2:7" ht="30.75" customHeight="1" x14ac:dyDescent="0.3">
      <c r="D1" s="195" t="s">
        <v>72</v>
      </c>
      <c r="E1" s="197" t="s">
        <v>82</v>
      </c>
    </row>
    <row r="2" spans="2:7" x14ac:dyDescent="0.3">
      <c r="B2" s="281" t="s">
        <v>75</v>
      </c>
      <c r="C2" s="224" t="s">
        <v>74</v>
      </c>
      <c r="D2" s="242">
        <f>-'2018 TSDB náklady'!B15-'2018 TSDB náklady'!C15-'2018 TSDB náklady'!D15</f>
        <v>-4347180.87</v>
      </c>
      <c r="E2" s="244">
        <f>+'2018 výnosy SD+vesnice'!C7+'2018 výnosy SD+vesnice'!E7+'2018 výnosy SD+vesnice'!H16*0.8</f>
        <v>766243.19000000006</v>
      </c>
      <c r="G2" t="s">
        <v>144</v>
      </c>
    </row>
    <row r="3" spans="2:7" x14ac:dyDescent="0.3">
      <c r="B3" s="282"/>
      <c r="C3" s="271" t="s">
        <v>150</v>
      </c>
      <c r="D3" s="269">
        <v>181000</v>
      </c>
      <c r="E3" s="270"/>
    </row>
    <row r="4" spans="2:7" x14ac:dyDescent="0.3">
      <c r="B4" s="282"/>
      <c r="C4" s="259" t="s">
        <v>86</v>
      </c>
      <c r="D4" s="260">
        <v>3780331</v>
      </c>
      <c r="E4" s="228"/>
    </row>
    <row r="5" spans="2:7" x14ac:dyDescent="0.3">
      <c r="B5" s="283"/>
      <c r="D5" s="196"/>
      <c r="E5" s="196"/>
      <c r="F5" s="198">
        <f>+SUM(D2:E5)</f>
        <v>380393.31999999983</v>
      </c>
    </row>
    <row r="6" spans="2:7" x14ac:dyDescent="0.3">
      <c r="D6" s="196"/>
      <c r="E6" s="196"/>
    </row>
    <row r="7" spans="2:7" ht="15" customHeight="1" x14ac:dyDescent="0.3">
      <c r="B7" s="284" t="s">
        <v>71</v>
      </c>
      <c r="C7" s="224" t="str">
        <f>+'2018 Sběrný dvůr'!B1</f>
        <v>Hrubý BIO</v>
      </c>
      <c r="D7" s="242">
        <f>-'2018 Sběrný dvůr'!E15*'2018 Sběrný dvůr'!C15/'2018 Sběrný dvůr'!B15</f>
        <v>-249231.50271583282</v>
      </c>
      <c r="E7" s="225"/>
      <c r="G7" t="s">
        <v>134</v>
      </c>
    </row>
    <row r="8" spans="2:7" x14ac:dyDescent="0.3">
      <c r="B8" s="285"/>
      <c r="C8" s="8" t="str">
        <f>+'2018 Sběrný dvůr'!G1</f>
        <v>Nebezpečný odpad</v>
      </c>
      <c r="D8" s="243">
        <f>-'2018 Sběrný dvůr'!H15-'2018 Sběrný dvůr'!I15</f>
        <v>-73654.62999999999</v>
      </c>
      <c r="E8" s="226"/>
      <c r="G8" t="s">
        <v>134</v>
      </c>
    </row>
    <row r="9" spans="2:7" x14ac:dyDescent="0.3">
      <c r="B9" s="285"/>
      <c r="C9" s="8" t="str">
        <f>+'2018 Sběrný dvůr'!K1</f>
        <v>Suť</v>
      </c>
      <c r="D9" s="243">
        <f>-'2018 Sběrný dvůr'!L15</f>
        <v>-252252.5</v>
      </c>
      <c r="E9" s="226"/>
      <c r="G9" t="s">
        <v>134</v>
      </c>
    </row>
    <row r="10" spans="2:7" x14ac:dyDescent="0.3">
      <c r="B10" s="285"/>
      <c r="C10" s="8" t="str">
        <f>+'2018 Sběrný dvůr'!N1</f>
        <v>Velkoobjemový</v>
      </c>
      <c r="D10" s="243">
        <f>-'2018 Sběrný dvůr'!O15</f>
        <v>-732008.35000000009</v>
      </c>
      <c r="E10" s="226"/>
      <c r="G10" t="s">
        <v>134</v>
      </c>
    </row>
    <row r="11" spans="2:7" x14ac:dyDescent="0.3">
      <c r="B11" s="285"/>
      <c r="C11" s="8" t="s">
        <v>105</v>
      </c>
      <c r="D11" s="243">
        <f>-'2018 Sběrný dvůr'!D32-'2018 Sběrný dvůr'!C32</f>
        <v>-35105.75</v>
      </c>
      <c r="E11" s="226"/>
      <c r="G11" t="s">
        <v>134</v>
      </c>
    </row>
    <row r="12" spans="2:7" x14ac:dyDescent="0.3">
      <c r="B12" s="285"/>
      <c r="C12" s="8" t="s">
        <v>106</v>
      </c>
      <c r="D12" s="243">
        <f>-'2018 Sběrný dvůr'!I32</f>
        <v>-17388</v>
      </c>
      <c r="E12" s="245">
        <f>+'2018 Sběrný dvůr'!H32</f>
        <v>77882</v>
      </c>
      <c r="G12" t="s">
        <v>134</v>
      </c>
    </row>
    <row r="13" spans="2:7" x14ac:dyDescent="0.3">
      <c r="B13" s="285"/>
      <c r="C13" s="8" t="s">
        <v>89</v>
      </c>
      <c r="D13" s="232">
        <v>0</v>
      </c>
      <c r="E13" s="245">
        <f>+'2018 výnosy SD+vesnice'!D7</f>
        <v>27204.79</v>
      </c>
      <c r="G13" t="s">
        <v>134</v>
      </c>
    </row>
    <row r="14" spans="2:7" x14ac:dyDescent="0.3">
      <c r="B14" s="285"/>
      <c r="C14" s="8" t="s">
        <v>76</v>
      </c>
      <c r="D14" s="258">
        <f>-6000*2*12</f>
        <v>-144000</v>
      </c>
      <c r="E14" s="29"/>
      <c r="G14" s="2" t="s">
        <v>140</v>
      </c>
    </row>
    <row r="15" spans="2:7" x14ac:dyDescent="0.3">
      <c r="B15" s="285"/>
      <c r="C15" s="8" t="s">
        <v>77</v>
      </c>
      <c r="D15" s="243">
        <v>-60500</v>
      </c>
      <c r="E15" s="226"/>
      <c r="G15" t="s">
        <v>149</v>
      </c>
    </row>
    <row r="16" spans="2:7" x14ac:dyDescent="0.3">
      <c r="B16" s="285"/>
      <c r="C16" s="8" t="s">
        <v>78</v>
      </c>
      <c r="D16" s="232">
        <v>0</v>
      </c>
      <c r="E16" s="226"/>
      <c r="G16" t="s">
        <v>111</v>
      </c>
    </row>
    <row r="17" spans="2:7" x14ac:dyDescent="0.3">
      <c r="B17" s="285"/>
      <c r="C17" s="227" t="s">
        <v>79</v>
      </c>
      <c r="D17" s="233">
        <v>0</v>
      </c>
      <c r="E17" s="228"/>
      <c r="G17" t="s">
        <v>91</v>
      </c>
    </row>
    <row r="18" spans="2:7" x14ac:dyDescent="0.3">
      <c r="B18" s="286"/>
      <c r="D18" s="196"/>
      <c r="E18" s="196"/>
      <c r="F18" s="198">
        <f>SUM(D7:E17)</f>
        <v>-1459053.942715833</v>
      </c>
    </row>
    <row r="20" spans="2:7" ht="15" customHeight="1" x14ac:dyDescent="0.3">
      <c r="B20" s="284" t="s">
        <v>73</v>
      </c>
      <c r="C20" s="224" t="s">
        <v>90</v>
      </c>
      <c r="D20" s="242">
        <v>-73492</v>
      </c>
      <c r="E20" s="229"/>
      <c r="F20" s="187"/>
      <c r="G20" t="s">
        <v>133</v>
      </c>
    </row>
    <row r="21" spans="2:7" x14ac:dyDescent="0.3">
      <c r="B21" s="285"/>
      <c r="C21" s="8" t="s">
        <v>95</v>
      </c>
      <c r="D21" s="258">
        <f>-3000*2*12</f>
        <v>-72000</v>
      </c>
      <c r="E21" s="226"/>
      <c r="G21" s="2" t="s">
        <v>140</v>
      </c>
    </row>
    <row r="22" spans="2:7" x14ac:dyDescent="0.3">
      <c r="B22" s="285"/>
      <c r="C22" s="8" t="s">
        <v>103</v>
      </c>
      <c r="D22" s="258">
        <f>-3000*12-13827</f>
        <v>-49827</v>
      </c>
      <c r="E22" s="226"/>
      <c r="G22" t="s">
        <v>135</v>
      </c>
    </row>
    <row r="23" spans="2:7" x14ac:dyDescent="0.3">
      <c r="B23" s="285"/>
      <c r="C23" s="8" t="s">
        <v>96</v>
      </c>
      <c r="D23" s="243">
        <f>-'2018 Sběrný dvůr'!L32</f>
        <v>-11064.240000000003</v>
      </c>
      <c r="E23" s="226"/>
      <c r="G23" t="s">
        <v>136</v>
      </c>
    </row>
    <row r="24" spans="2:7" x14ac:dyDescent="0.3">
      <c r="B24" s="285"/>
      <c r="C24" s="8" t="s">
        <v>102</v>
      </c>
      <c r="D24" s="243">
        <f>-'2018 Sběrný dvůr'!K32</f>
        <v>-22693.399999999998</v>
      </c>
      <c r="E24" s="245">
        <f>+'2018 výnosy SD+vesnice'!H16*0.2</f>
        <v>9333.2000000000007</v>
      </c>
      <c r="G24" t="s">
        <v>137</v>
      </c>
    </row>
    <row r="25" spans="2:7" x14ac:dyDescent="0.3">
      <c r="B25" s="285"/>
      <c r="C25" s="8" t="s">
        <v>104</v>
      </c>
      <c r="D25" s="243">
        <f>-'2018 TSDB náklady'!E15</f>
        <v>-487803</v>
      </c>
      <c r="E25" s="29"/>
      <c r="G25" t="s">
        <v>139</v>
      </c>
    </row>
    <row r="26" spans="2:7" x14ac:dyDescent="0.3">
      <c r="B26" s="285"/>
      <c r="C26" s="8" t="s">
        <v>80</v>
      </c>
      <c r="D26" s="232">
        <v>0</v>
      </c>
      <c r="E26" s="226"/>
      <c r="G26" t="s">
        <v>132</v>
      </c>
    </row>
    <row r="27" spans="2:7" x14ac:dyDescent="0.3">
      <c r="B27" s="285"/>
      <c r="C27" s="259" t="s">
        <v>86</v>
      </c>
      <c r="D27" s="260">
        <v>746360</v>
      </c>
      <c r="E27" s="55"/>
      <c r="G27" t="s">
        <v>92</v>
      </c>
    </row>
    <row r="28" spans="2:7" x14ac:dyDescent="0.3">
      <c r="B28" s="286"/>
      <c r="D28" s="196"/>
      <c r="E28" s="196"/>
      <c r="F28" s="198">
        <f>SUM(D20:E27)</f>
        <v>38813.560000000056</v>
      </c>
    </row>
    <row r="29" spans="2:7" x14ac:dyDescent="0.3">
      <c r="D29" s="196"/>
      <c r="E29" s="196"/>
    </row>
    <row r="30" spans="2:7" x14ac:dyDescent="0.3">
      <c r="B30" s="284" t="s">
        <v>85</v>
      </c>
      <c r="C30" s="224" t="s">
        <v>108</v>
      </c>
      <c r="D30" s="242">
        <v>-5518</v>
      </c>
      <c r="E30" s="225"/>
      <c r="G30" t="s">
        <v>133</v>
      </c>
    </row>
    <row r="31" spans="2:7" x14ac:dyDescent="0.3">
      <c r="B31" s="285"/>
      <c r="C31" s="8" t="s">
        <v>107</v>
      </c>
      <c r="D31" s="258">
        <f>-3300*50*0.2</f>
        <v>-33000</v>
      </c>
      <c r="E31" s="226"/>
      <c r="G31" s="2" t="s">
        <v>145</v>
      </c>
    </row>
    <row r="32" spans="2:7" x14ac:dyDescent="0.3">
      <c r="B32" s="285"/>
      <c r="C32" s="8" t="s">
        <v>94</v>
      </c>
      <c r="D32" s="258">
        <f>-3000*2*12</f>
        <v>-72000</v>
      </c>
      <c r="E32" s="226"/>
      <c r="G32" s="2" t="s">
        <v>140</v>
      </c>
    </row>
    <row r="33" spans="2:7" x14ac:dyDescent="0.3">
      <c r="B33" s="285"/>
      <c r="C33" s="8" t="s">
        <v>103</v>
      </c>
      <c r="D33" s="255">
        <f>-2000*12</f>
        <v>-24000</v>
      </c>
      <c r="E33" s="251"/>
      <c r="G33" t="s">
        <v>138</v>
      </c>
    </row>
    <row r="34" spans="2:7" x14ac:dyDescent="0.3">
      <c r="B34" s="285"/>
      <c r="C34" s="254" t="s">
        <v>131</v>
      </c>
      <c r="D34" s="255">
        <v>-5000</v>
      </c>
      <c r="E34" s="251"/>
      <c r="G34" t="s">
        <v>138</v>
      </c>
    </row>
    <row r="35" spans="2:7" x14ac:dyDescent="0.3">
      <c r="B35" s="285"/>
      <c r="C35" s="259" t="s">
        <v>86</v>
      </c>
      <c r="D35" s="260">
        <v>82850</v>
      </c>
      <c r="E35" s="228"/>
    </row>
    <row r="36" spans="2:7" x14ac:dyDescent="0.3">
      <c r="B36" s="286"/>
      <c r="E36" s="196"/>
      <c r="F36" s="198">
        <f>SUM(D30:E35)</f>
        <v>-56668</v>
      </c>
    </row>
    <row r="37" spans="2:7" x14ac:dyDescent="0.3">
      <c r="B37" s="246"/>
      <c r="E37" s="196"/>
      <c r="F37" s="247"/>
    </row>
    <row r="38" spans="2:7" x14ac:dyDescent="0.3">
      <c r="D38" s="196"/>
      <c r="E38" s="196"/>
    </row>
    <row r="39" spans="2:7" x14ac:dyDescent="0.3">
      <c r="C39" s="1" t="s">
        <v>83</v>
      </c>
      <c r="D39" s="220">
        <f>SUM(D2:D38)</f>
        <v>-1977178.2427158332</v>
      </c>
      <c r="E39" s="241">
        <f>SUM(E2:E38)</f>
        <v>880663.18</v>
      </c>
      <c r="F39" s="2"/>
    </row>
    <row r="40" spans="2:7" x14ac:dyDescent="0.3">
      <c r="C40" s="2"/>
      <c r="D40" s="2"/>
      <c r="E40" s="2"/>
      <c r="F40" s="198">
        <f>+D39+E39</f>
        <v>-1096515.0627158331</v>
      </c>
    </row>
    <row r="41" spans="2:7" x14ac:dyDescent="0.3">
      <c r="C41" s="2"/>
      <c r="D41" s="2"/>
      <c r="E41" s="2"/>
      <c r="F41" s="247"/>
    </row>
    <row r="43" spans="2:7" x14ac:dyDescent="0.3">
      <c r="B43" s="281" t="s">
        <v>55</v>
      </c>
      <c r="C43" s="263" t="s">
        <v>84</v>
      </c>
      <c r="D43" s="267">
        <f>-'2018 Sběrný dvůr'!E15*'2018 Sběrný dvůr'!D15/'2018 Sběrný dvůr'!B15</f>
        <v>-17204.497284167202</v>
      </c>
      <c r="E43" s="230"/>
      <c r="G43" t="s">
        <v>142</v>
      </c>
    </row>
    <row r="44" spans="2:7" x14ac:dyDescent="0.3">
      <c r="B44" s="282"/>
      <c r="C44" s="264" t="s">
        <v>97</v>
      </c>
      <c r="D44" s="266">
        <v>-10000</v>
      </c>
      <c r="E44" s="248"/>
      <c r="F44" s="7"/>
      <c r="G44" s="7" t="s">
        <v>141</v>
      </c>
    </row>
    <row r="45" spans="2:7" x14ac:dyDescent="0.3">
      <c r="B45" s="282"/>
      <c r="C45" s="264" t="s">
        <v>112</v>
      </c>
      <c r="D45" s="266">
        <v>-7342</v>
      </c>
      <c r="E45" s="248"/>
      <c r="F45" s="7"/>
      <c r="G45" s="7" t="s">
        <v>141</v>
      </c>
    </row>
    <row r="46" spans="2:7" x14ac:dyDescent="0.3">
      <c r="B46" s="282"/>
      <c r="C46" s="264" t="s">
        <v>93</v>
      </c>
      <c r="D46" s="261">
        <f>-1500*2*12</f>
        <v>-36000</v>
      </c>
      <c r="E46" s="23"/>
      <c r="G46" s="7" t="s">
        <v>141</v>
      </c>
    </row>
    <row r="47" spans="2:7" x14ac:dyDescent="0.3">
      <c r="B47" s="282"/>
      <c r="C47" s="264" t="s">
        <v>103</v>
      </c>
      <c r="D47" s="262">
        <f>-1000*12</f>
        <v>-12000</v>
      </c>
      <c r="E47" s="96"/>
      <c r="G47" s="7" t="s">
        <v>141</v>
      </c>
    </row>
    <row r="48" spans="2:7" x14ac:dyDescent="0.3">
      <c r="B48" s="283"/>
      <c r="C48" s="265" t="s">
        <v>81</v>
      </c>
      <c r="D48" s="268">
        <f>-'2018 Sběrný dvůr'!N32-'2018 Sběrný dvůr'!O32</f>
        <v>-4204.3999999999996</v>
      </c>
      <c r="E48" s="231"/>
      <c r="G48" s="7" t="s">
        <v>143</v>
      </c>
    </row>
    <row r="49" spans="6:6" x14ac:dyDescent="0.3">
      <c r="F49" s="198">
        <f>+SUM(D43:E48)</f>
        <v>-86750.897284167193</v>
      </c>
    </row>
  </sheetData>
  <mergeCells count="5">
    <mergeCell ref="B43:B48"/>
    <mergeCell ref="B2:B5"/>
    <mergeCell ref="B30:B36"/>
    <mergeCell ref="B20:B28"/>
    <mergeCell ref="B7:B18"/>
  </mergeCells>
  <pageMargins left="0.31496062992125984" right="0.31496062992125984" top="0.78740157480314965" bottom="0.78740157480314965" header="0.31496062992125984" footer="0.31496062992125984"/>
  <pageSetup paperSize="9" scale="91" orientation="portrait" r:id="rId1"/>
  <headerFooter>
    <oddFooter>&amp;L&amp;F&amp;C&amp;D  &amp;T&amp;R&amp;A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337B9B-3364-4C82-941B-687C33CAF881}">
  <dimension ref="A1:H28"/>
  <sheetViews>
    <sheetView workbookViewId="0">
      <selection activeCell="L21" sqref="L21"/>
    </sheetView>
  </sheetViews>
  <sheetFormatPr defaultRowHeight="14.4" x14ac:dyDescent="0.3"/>
  <cols>
    <col min="7" max="7" width="15.44140625" bestFit="1" customWidth="1"/>
  </cols>
  <sheetData>
    <row r="1" spans="1:8" x14ac:dyDescent="0.3">
      <c r="A1" t="s">
        <v>122</v>
      </c>
    </row>
    <row r="3" spans="1:8" x14ac:dyDescent="0.3">
      <c r="A3" s="252" t="s">
        <v>113</v>
      </c>
    </row>
    <row r="4" spans="1:8" x14ac:dyDescent="0.3">
      <c r="A4" s="252"/>
    </row>
    <row r="5" spans="1:8" x14ac:dyDescent="0.3">
      <c r="A5" s="252" t="s">
        <v>114</v>
      </c>
    </row>
    <row r="6" spans="1:8" x14ac:dyDescent="0.3">
      <c r="A6" s="252" t="s">
        <v>115</v>
      </c>
    </row>
    <row r="7" spans="1:8" x14ac:dyDescent="0.3">
      <c r="A7" s="252" t="s">
        <v>116</v>
      </c>
    </row>
    <row r="8" spans="1:8" x14ac:dyDescent="0.3">
      <c r="A8" s="252"/>
    </row>
    <row r="9" spans="1:8" x14ac:dyDescent="0.3">
      <c r="A9" s="252" t="s">
        <v>117</v>
      </c>
    </row>
    <row r="10" spans="1:8" x14ac:dyDescent="0.3">
      <c r="A10" s="252" t="s">
        <v>118</v>
      </c>
    </row>
    <row r="11" spans="1:8" x14ac:dyDescent="0.3">
      <c r="A11" s="252"/>
    </row>
    <row r="12" spans="1:8" x14ac:dyDescent="0.3">
      <c r="A12" s="252" t="s">
        <v>119</v>
      </c>
    </row>
    <row r="13" spans="1:8" x14ac:dyDescent="0.3">
      <c r="A13" s="252"/>
    </row>
    <row r="14" spans="1:8" x14ac:dyDescent="0.3">
      <c r="A14" s="252" t="s">
        <v>120</v>
      </c>
      <c r="F14" t="s">
        <v>128</v>
      </c>
      <c r="G14" s="253">
        <v>958910</v>
      </c>
    </row>
    <row r="15" spans="1:8" x14ac:dyDescent="0.3">
      <c r="A15" s="252" t="s">
        <v>121</v>
      </c>
      <c r="F15" t="s">
        <v>129</v>
      </c>
      <c r="G15" s="253">
        <v>326030</v>
      </c>
    </row>
    <row r="16" spans="1:8" x14ac:dyDescent="0.3">
      <c r="F16" t="s">
        <v>130</v>
      </c>
      <c r="G16" s="256">
        <f>SUM(G14:G15)</f>
        <v>1284940</v>
      </c>
      <c r="H16" s="2" t="s">
        <v>148</v>
      </c>
    </row>
    <row r="18" spans="4:8" x14ac:dyDescent="0.3">
      <c r="F18" t="s">
        <v>128</v>
      </c>
      <c r="G18" s="253">
        <v>71500</v>
      </c>
    </row>
    <row r="19" spans="4:8" x14ac:dyDescent="0.3">
      <c r="F19" t="s">
        <v>129</v>
      </c>
      <c r="G19" s="253">
        <v>15632</v>
      </c>
    </row>
    <row r="20" spans="4:8" x14ac:dyDescent="0.3">
      <c r="F20" t="s">
        <v>130</v>
      </c>
      <c r="G20" s="256">
        <f>SUM(G18:G19)</f>
        <v>87132</v>
      </c>
      <c r="H20" s="2" t="s">
        <v>123</v>
      </c>
    </row>
    <row r="23" spans="4:8" x14ac:dyDescent="0.3">
      <c r="D23" t="s">
        <v>124</v>
      </c>
      <c r="G23" s="253">
        <f>+bilance!D14</f>
        <v>-144000</v>
      </c>
      <c r="H23" t="s">
        <v>125</v>
      </c>
    </row>
    <row r="24" spans="4:8" x14ac:dyDescent="0.3">
      <c r="G24" s="253">
        <f>+bilance!D21</f>
        <v>-72000</v>
      </c>
      <c r="H24" t="s">
        <v>126</v>
      </c>
    </row>
    <row r="25" spans="4:8" x14ac:dyDescent="0.3">
      <c r="G25" s="253">
        <f>+bilance!D32</f>
        <v>-72000</v>
      </c>
      <c r="H25" t="s">
        <v>127</v>
      </c>
    </row>
    <row r="26" spans="4:8" x14ac:dyDescent="0.3">
      <c r="G26" s="257">
        <f>SUM(G23:G25)</f>
        <v>-288000</v>
      </c>
      <c r="H26" s="2" t="s">
        <v>146</v>
      </c>
    </row>
    <row r="28" spans="4:8" x14ac:dyDescent="0.3">
      <c r="G28" s="2" t="s">
        <v>147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E4F34-0D9E-41E8-BBA4-F6888D91283C}">
  <sheetPr>
    <tabColor rgb="FFFFFF00"/>
  </sheetPr>
  <dimension ref="A1:M22"/>
  <sheetViews>
    <sheetView workbookViewId="0">
      <selection activeCell="H18" sqref="H18"/>
    </sheetView>
  </sheetViews>
  <sheetFormatPr defaultRowHeight="14.4" x14ac:dyDescent="0.3"/>
  <cols>
    <col min="1" max="1" width="10.6640625" customWidth="1"/>
    <col min="2" max="2" width="15.44140625" bestFit="1" customWidth="1"/>
    <col min="3" max="3" width="14" bestFit="1" customWidth="1"/>
    <col min="4" max="5" width="15.44140625" bestFit="1" customWidth="1"/>
    <col min="6" max="6" width="3.44140625" customWidth="1"/>
    <col min="7" max="8" width="15.44140625" bestFit="1" customWidth="1"/>
    <col min="9" max="9" width="3" customWidth="1"/>
    <col min="10" max="10" width="15.44140625" bestFit="1" customWidth="1"/>
    <col min="11" max="11" width="2.109375" customWidth="1"/>
  </cols>
  <sheetData>
    <row r="1" spans="1:13" x14ac:dyDescent="0.3">
      <c r="H1" s="7"/>
      <c r="I1" s="7"/>
    </row>
    <row r="2" spans="1:13" ht="29.25" customHeight="1" x14ac:dyDescent="0.3">
      <c r="B2" s="235" t="s">
        <v>98</v>
      </c>
      <c r="C2" s="235" t="s">
        <v>99</v>
      </c>
      <c r="D2" s="236" t="s">
        <v>67</v>
      </c>
      <c r="E2" s="237" t="s">
        <v>110</v>
      </c>
      <c r="F2" s="239"/>
      <c r="G2" s="238" t="s">
        <v>100</v>
      </c>
      <c r="H2" s="238" t="s">
        <v>101</v>
      </c>
      <c r="I2" s="240"/>
      <c r="J2" s="237" t="s">
        <v>68</v>
      </c>
      <c r="L2" s="234" t="s">
        <v>109</v>
      </c>
      <c r="M2" s="234"/>
    </row>
    <row r="3" spans="1:13" x14ac:dyDescent="0.3">
      <c r="A3" s="38" t="s">
        <v>2</v>
      </c>
      <c r="B3" s="178">
        <v>90687.92</v>
      </c>
      <c r="C3" s="179"/>
      <c r="D3" s="179">
        <v>197648.77</v>
      </c>
      <c r="E3" s="192">
        <v>40652.5</v>
      </c>
      <c r="G3" s="178">
        <v>63539.39</v>
      </c>
      <c r="H3" s="192">
        <v>7758</v>
      </c>
      <c r="I3" s="7"/>
      <c r="J3" s="184">
        <f t="shared" ref="J3:J14" si="0">SUM(B3:H3)</f>
        <v>400286.58</v>
      </c>
      <c r="L3" s="188">
        <f>+'2018 Sběrný dvůr'!E3+'2018 Sběrný dvůr'!I3+'2018 Sběrný dvůr'!H3+'2018 Sběrný dvůr'!O3+'2018 Sběrný dvůr'!L3+'2018 Sběrný dvůr'!D20+'2018 Sběrný dvůr'!I20+'2018 Sběrný dvůr'!L20-G3-H3</f>
        <v>-2090.5699999999924</v>
      </c>
    </row>
    <row r="4" spans="1:13" x14ac:dyDescent="0.3">
      <c r="A4" s="39" t="s">
        <v>3</v>
      </c>
      <c r="B4" s="180">
        <v>90687.92</v>
      </c>
      <c r="C4" s="181"/>
      <c r="D4" s="181">
        <v>197648.77</v>
      </c>
      <c r="E4" s="193">
        <v>40652.5</v>
      </c>
      <c r="G4" s="180">
        <v>57487.99</v>
      </c>
      <c r="H4" s="193">
        <v>3771</v>
      </c>
      <c r="I4" s="7"/>
      <c r="J4" s="185">
        <f t="shared" si="0"/>
        <v>390248.18</v>
      </c>
      <c r="L4" s="188">
        <f>+'2018 Sběrný dvůr'!E4+'2018 Sběrný dvůr'!I4+'2018 Sběrný dvůr'!H4+'2018 Sběrný dvůr'!O4+'2018 Sběrný dvůr'!L4+'2018 Sběrný dvůr'!D21+'2018 Sběrný dvůr'!I21+'2018 Sběrný dvůr'!L21-G4-H4</f>
        <v>-2868.7799999999988</v>
      </c>
    </row>
    <row r="5" spans="1:13" x14ac:dyDescent="0.3">
      <c r="A5" s="39" t="s">
        <v>4</v>
      </c>
      <c r="B5" s="180">
        <v>90687.92</v>
      </c>
      <c r="C5" s="181">
        <v>206384.06</v>
      </c>
      <c r="D5" s="181">
        <v>197648.77</v>
      </c>
      <c r="E5" s="193">
        <v>40652.5</v>
      </c>
      <c r="G5" s="180">
        <v>64744.72</v>
      </c>
      <c r="H5" s="193">
        <v>8285</v>
      </c>
      <c r="I5" s="7"/>
      <c r="J5" s="185">
        <f t="shared" si="0"/>
        <v>608402.97</v>
      </c>
      <c r="L5" s="188">
        <f>+'2018 Sběrný dvůr'!E5+'2018 Sběrný dvůr'!I5+'2018 Sběrný dvůr'!H5+'2018 Sběrný dvůr'!O5+'2018 Sběrný dvůr'!L5+'2018 Sběrný dvůr'!D22+'2018 Sběrný dvůr'!I22+'2018 Sběrný dvůr'!L22-G5-H5</f>
        <v>-1375.3999999999942</v>
      </c>
    </row>
    <row r="6" spans="1:13" x14ac:dyDescent="0.3">
      <c r="A6" s="39" t="s">
        <v>5</v>
      </c>
      <c r="B6" s="180">
        <v>90687.92</v>
      </c>
      <c r="C6" s="181"/>
      <c r="D6" s="181">
        <v>197648.77</v>
      </c>
      <c r="E6" s="193">
        <v>40652.5</v>
      </c>
      <c r="G6" s="180">
        <v>116625.76</v>
      </c>
      <c r="H6" s="193">
        <v>45502</v>
      </c>
      <c r="I6" s="7"/>
      <c r="J6" s="185">
        <f t="shared" si="0"/>
        <v>491116.95</v>
      </c>
      <c r="L6" s="188">
        <f>+'2018 Sběrný dvůr'!E6+'2018 Sběrný dvůr'!I6+'2018 Sběrný dvůr'!H6+'2018 Sběrný dvůr'!O6+'2018 Sběrný dvůr'!L6+'2018 Sběrný dvůr'!D23+'2018 Sběrný dvůr'!I23+'2018 Sběrný dvůr'!L23-G6-H6</f>
        <v>-5405.4900000000052</v>
      </c>
    </row>
    <row r="7" spans="1:13" x14ac:dyDescent="0.3">
      <c r="A7" s="39" t="s">
        <v>6</v>
      </c>
      <c r="B7" s="180">
        <v>90687.92</v>
      </c>
      <c r="C7" s="181"/>
      <c r="D7" s="181">
        <v>197648.77</v>
      </c>
      <c r="E7" s="193">
        <v>40652.5</v>
      </c>
      <c r="G7" s="180">
        <v>117941.01</v>
      </c>
      <c r="H7" s="193">
        <v>32830</v>
      </c>
      <c r="I7" s="7"/>
      <c r="J7" s="185">
        <f t="shared" si="0"/>
        <v>479760.2</v>
      </c>
      <c r="L7" s="188">
        <f>+'2018 Sběrný dvůr'!E7+'2018 Sběrný dvůr'!I7+'2018 Sběrný dvůr'!H7+'2018 Sběrný dvůr'!O7+'2018 Sběrný dvůr'!L7+'2018 Sběrný dvůr'!D24+'2018 Sběrný dvůr'!I24+'2018 Sběrný dvůr'!L24-G7-H7</f>
        <v>-4131.0500000000029</v>
      </c>
    </row>
    <row r="8" spans="1:13" x14ac:dyDescent="0.3">
      <c r="A8" s="39" t="s">
        <v>7</v>
      </c>
      <c r="B8" s="180">
        <v>90687.92</v>
      </c>
      <c r="C8" s="181">
        <v>219238.99</v>
      </c>
      <c r="D8" s="181">
        <v>197648.77</v>
      </c>
      <c r="E8" s="193">
        <v>40652.5</v>
      </c>
      <c r="G8" s="180">
        <v>100362.9</v>
      </c>
      <c r="H8" s="193">
        <v>18864</v>
      </c>
      <c r="I8" s="7"/>
      <c r="J8" s="185">
        <f t="shared" si="0"/>
        <v>667455.07999999996</v>
      </c>
      <c r="L8" s="188">
        <f>+'2018 Sběrný dvůr'!E8+'2018 Sběrný dvůr'!I8+'2018 Sběrný dvůr'!H8+'2018 Sběrný dvůr'!O8+'2018 Sběrný dvůr'!L8+'2018 Sběrný dvůr'!D25+'2018 Sběrný dvůr'!I25+'2018 Sběrný dvůr'!L25-G8-H8</f>
        <v>-2748.2099999999919</v>
      </c>
    </row>
    <row r="9" spans="1:13" x14ac:dyDescent="0.3">
      <c r="A9" s="39" t="s">
        <v>8</v>
      </c>
      <c r="B9" s="180">
        <v>90687.92</v>
      </c>
      <c r="C9" s="181"/>
      <c r="D9" s="181">
        <v>197648.77</v>
      </c>
      <c r="E9" s="193">
        <v>40652.5</v>
      </c>
      <c r="G9" s="180">
        <v>122650.95</v>
      </c>
      <c r="H9" s="193">
        <v>23131</v>
      </c>
      <c r="I9" s="7"/>
      <c r="J9" s="185">
        <f t="shared" si="0"/>
        <v>474771.14</v>
      </c>
      <c r="L9" s="188">
        <f>+'2018 Sběrný dvůr'!E9+'2018 Sběrný dvůr'!I9+'2018 Sběrný dvůr'!H9+'2018 Sběrný dvůr'!O9+'2018 Sběrný dvůr'!L9+'2018 Sběrný dvůr'!D26+'2018 Sběrný dvůr'!I26+'2018 Sběrný dvůr'!L26-G9-H9</f>
        <v>-5200.3000000000029</v>
      </c>
    </row>
    <row r="10" spans="1:13" x14ac:dyDescent="0.3">
      <c r="A10" s="39" t="s">
        <v>9</v>
      </c>
      <c r="B10" s="180">
        <v>90687.92</v>
      </c>
      <c r="C10" s="181"/>
      <c r="D10" s="181">
        <v>197648.77</v>
      </c>
      <c r="E10" s="193">
        <v>40652.5</v>
      </c>
      <c r="G10" s="180">
        <v>116960.27</v>
      </c>
      <c r="H10" s="193">
        <v>18546</v>
      </c>
      <c r="I10" s="7"/>
      <c r="J10" s="185">
        <f t="shared" si="0"/>
        <v>464495.46</v>
      </c>
      <c r="L10" s="188">
        <f>+'2018 Sběrný dvůr'!E10+'2018 Sběrný dvůr'!I10+'2018 Sběrný dvůr'!H10+'2018 Sběrný dvůr'!O10+'2018 Sběrný dvůr'!L10+'2018 Sběrný dvůr'!D27+'2018 Sběrný dvůr'!I27+'2018 Sběrný dvůr'!L27-G10-H10</f>
        <v>-5103.5</v>
      </c>
    </row>
    <row r="11" spans="1:13" x14ac:dyDescent="0.3">
      <c r="A11" s="39" t="s">
        <v>10</v>
      </c>
      <c r="B11" s="180">
        <v>90687.92</v>
      </c>
      <c r="C11" s="181">
        <v>232123.82</v>
      </c>
      <c r="D11" s="181">
        <v>197648.77</v>
      </c>
      <c r="E11" s="193">
        <v>40652.5</v>
      </c>
      <c r="G11" s="180">
        <v>100941.24</v>
      </c>
      <c r="H11" s="193">
        <v>25790</v>
      </c>
      <c r="I11" s="7"/>
      <c r="J11" s="185">
        <f t="shared" si="0"/>
        <v>687844.25</v>
      </c>
      <c r="L11" s="188">
        <f>+'2018 Sběrný dvůr'!E11+'2018 Sběrný dvůr'!I11+'2018 Sběrný dvůr'!H11+'2018 Sběrný dvůr'!O11+'2018 Sběrný dvůr'!L11+'2018 Sběrný dvůr'!D28+'2018 Sběrný dvůr'!I28+'2018 Sběrný dvůr'!L28-G11-H11</f>
        <v>-3418.3000000000029</v>
      </c>
    </row>
    <row r="12" spans="1:13" x14ac:dyDescent="0.3">
      <c r="A12" s="39" t="s">
        <v>11</v>
      </c>
      <c r="B12" s="180">
        <v>90687.92</v>
      </c>
      <c r="C12" s="181"/>
      <c r="D12" s="181">
        <v>197648.77</v>
      </c>
      <c r="E12" s="193">
        <v>40652.5</v>
      </c>
      <c r="G12" s="180">
        <v>109128</v>
      </c>
      <c r="H12" s="193">
        <v>37171</v>
      </c>
      <c r="I12" s="7"/>
      <c r="J12" s="185">
        <f t="shared" si="0"/>
        <v>475288.19</v>
      </c>
      <c r="L12" s="188">
        <f>+'2018 Sběrný dvůr'!E12+'2018 Sběrný dvůr'!I12+'2018 Sběrný dvůr'!H12+'2018 Sběrný dvůr'!O12+'2018 Sběrný dvůr'!L12+'2018 Sběrný dvůr'!D29+'2018 Sběrný dvůr'!I29+'2018 Sběrný dvůr'!L29-G12-H12</f>
        <v>-5789.25</v>
      </c>
    </row>
    <row r="13" spans="1:13" x14ac:dyDescent="0.3">
      <c r="A13" s="39" t="s">
        <v>12</v>
      </c>
      <c r="B13" s="180">
        <v>90687.92</v>
      </c>
      <c r="C13" s="181"/>
      <c r="D13" s="181">
        <v>197648.77</v>
      </c>
      <c r="E13" s="193">
        <v>40652.5</v>
      </c>
      <c r="G13" s="180">
        <v>115942.62</v>
      </c>
      <c r="H13" s="193">
        <v>36261</v>
      </c>
      <c r="I13" s="7"/>
      <c r="J13" s="185">
        <f t="shared" si="0"/>
        <v>481192.81</v>
      </c>
      <c r="L13" s="188">
        <f>+'2018 Sběrný dvůr'!E13+'2018 Sběrný dvůr'!I13+'2018 Sběrný dvůr'!H13+'2018 Sběrný dvůr'!O13+'2018 Sběrný dvůr'!L13+'2018 Sběrný dvůr'!D30+'2018 Sběrný dvůr'!I30+'2018 Sběrný dvůr'!L30-G13-H13</f>
        <v>-7465.1000000000058</v>
      </c>
    </row>
    <row r="14" spans="1:13" x14ac:dyDescent="0.3">
      <c r="A14" s="39" t="s">
        <v>13</v>
      </c>
      <c r="B14" s="182">
        <v>90687.92</v>
      </c>
      <c r="C14" s="183">
        <v>229393.72</v>
      </c>
      <c r="D14" s="183">
        <v>197648.77</v>
      </c>
      <c r="E14" s="194">
        <v>40625.5</v>
      </c>
      <c r="G14" s="182">
        <v>64612.77</v>
      </c>
      <c r="H14" s="194">
        <v>7529</v>
      </c>
      <c r="I14" s="7"/>
      <c r="J14" s="186">
        <f t="shared" si="0"/>
        <v>630497.68000000005</v>
      </c>
      <c r="L14" s="188">
        <f>+'2018 Sběrný dvůr'!E14+'2018 Sběrný dvůr'!I14+'2018 Sběrný dvůr'!H14+'2018 Sběrný dvůr'!O14+'2018 Sběrný dvůr'!L14+'2018 Sběrný dvůr'!D31+'2018 Sběrný dvůr'!I31+'2018 Sběrný dvůr'!L31-G14-H14</f>
        <v>-3163.9499999999898</v>
      </c>
    </row>
    <row r="15" spans="1:13" x14ac:dyDescent="0.3">
      <c r="A15" s="40" t="s">
        <v>14</v>
      </c>
      <c r="B15" s="177">
        <f>SUM(B3:B14)</f>
        <v>1088255.0400000003</v>
      </c>
      <c r="C15" s="177">
        <f>SUM(C3:C14)</f>
        <v>887140.59</v>
      </c>
      <c r="D15" s="177">
        <f>SUM(D3:D14)</f>
        <v>2371785.2399999998</v>
      </c>
      <c r="E15" s="177">
        <f>SUM(E3:E14)</f>
        <v>487803</v>
      </c>
      <c r="G15" s="177">
        <f>SUM(G3:G14)</f>
        <v>1150937.6200000001</v>
      </c>
      <c r="H15" s="177">
        <f>SUM(H3:H14)</f>
        <v>265438</v>
      </c>
      <c r="I15" s="7"/>
      <c r="L15" s="189">
        <f>SUM(L3:L14)</f>
        <v>-48759.899999999987</v>
      </c>
    </row>
    <row r="16" spans="1:13" x14ac:dyDescent="0.3">
      <c r="H16" s="7"/>
      <c r="I16" s="7"/>
    </row>
    <row r="17" spans="3:10" x14ac:dyDescent="0.3">
      <c r="C17" s="190" t="s">
        <v>69</v>
      </c>
      <c r="D17" s="191"/>
      <c r="E17" s="177">
        <f>+SUM(B15:E15)</f>
        <v>4834983.87</v>
      </c>
      <c r="G17" t="s">
        <v>70</v>
      </c>
      <c r="I17" s="7"/>
    </row>
    <row r="18" spans="3:10" x14ac:dyDescent="0.3">
      <c r="H18" s="249">
        <f>+H15+G15</f>
        <v>1416375.62</v>
      </c>
      <c r="I18" s="7"/>
    </row>
    <row r="19" spans="3:10" x14ac:dyDescent="0.3">
      <c r="I19" s="7"/>
      <c r="J19" s="177">
        <f>SUM(J3:J14)</f>
        <v>6251359.4900000002</v>
      </c>
    </row>
    <row r="20" spans="3:10" x14ac:dyDescent="0.3">
      <c r="I20" s="7"/>
    </row>
    <row r="21" spans="3:10" x14ac:dyDescent="0.3">
      <c r="I21" s="7"/>
    </row>
    <row r="22" spans="3:10" x14ac:dyDescent="0.3">
      <c r="I22" s="7"/>
    </row>
  </sheetData>
  <pageMargins left="0.51181102362204722" right="0.51181102362204722" top="0.59055118110236227" bottom="0.59055118110236227" header="0.31496062992125984" footer="0.31496062992125984"/>
  <pageSetup paperSize="9" orientation="landscape" r:id="rId1"/>
  <headerFooter>
    <oddFooter>&amp;L&amp;F&amp;C&amp;D  &amp;T&amp;R&amp;A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2:AC34"/>
  <sheetViews>
    <sheetView workbookViewId="0">
      <selection activeCell="B16" sqref="B16:C16"/>
    </sheetView>
  </sheetViews>
  <sheetFormatPr defaultRowHeight="14.4" x14ac:dyDescent="0.3"/>
  <cols>
    <col min="1" max="1" width="9" bestFit="1" customWidth="1"/>
    <col min="2" max="2" width="9.5546875" bestFit="1" customWidth="1"/>
    <col min="3" max="3" width="6" customWidth="1"/>
    <col min="4" max="4" width="7.109375" bestFit="1" customWidth="1"/>
    <col min="5" max="5" width="6.6640625" bestFit="1" customWidth="1"/>
    <col min="6" max="6" width="7.6640625" bestFit="1" customWidth="1"/>
    <col min="7" max="7" width="8" bestFit="1" customWidth="1"/>
    <col min="8" max="8" width="7" style="7" bestFit="1" customWidth="1"/>
    <col min="9" max="9" width="8" bestFit="1" customWidth="1"/>
    <col min="10" max="10" width="7.109375" bestFit="1" customWidth="1"/>
    <col min="11" max="11" width="7.44140625" customWidth="1"/>
    <col min="12" max="12" width="7.33203125" customWidth="1"/>
    <col min="13" max="13" width="6.6640625" bestFit="1" customWidth="1"/>
    <col min="14" max="14" width="7.109375" bestFit="1" customWidth="1"/>
    <col min="15" max="16" width="9" bestFit="1" customWidth="1"/>
    <col min="17" max="17" width="6" bestFit="1" customWidth="1"/>
    <col min="18" max="19" width="5.5546875" customWidth="1"/>
    <col min="20" max="20" width="5.6640625" customWidth="1"/>
    <col min="21" max="21" width="4.5546875" customWidth="1"/>
    <col min="22" max="22" width="5.88671875" customWidth="1"/>
    <col min="23" max="23" width="5.5546875" customWidth="1"/>
    <col min="24" max="24" width="4.44140625" customWidth="1"/>
    <col min="25" max="25" width="5.6640625" customWidth="1"/>
    <col min="26" max="26" width="6.88671875" customWidth="1"/>
    <col min="27" max="27" width="5.5546875" customWidth="1"/>
    <col min="28" max="28" width="5.88671875" customWidth="1"/>
    <col min="29" max="29" width="5.6640625" customWidth="1"/>
    <col min="30" max="30" width="7.5546875" customWidth="1"/>
    <col min="31" max="31" width="6.6640625" customWidth="1"/>
  </cols>
  <sheetData>
    <row r="2" spans="1:18" s="2" customFormat="1" x14ac:dyDescent="0.3">
      <c r="A2"/>
      <c r="B2" s="24" t="s">
        <v>31</v>
      </c>
      <c r="C2" s="25" t="s">
        <v>39</v>
      </c>
      <c r="D2" s="158" t="s">
        <v>30</v>
      </c>
      <c r="E2" s="159" t="s">
        <v>29</v>
      </c>
      <c r="F2" s="159" t="s">
        <v>28</v>
      </c>
      <c r="G2" s="159" t="s">
        <v>43</v>
      </c>
      <c r="H2" s="87" t="s">
        <v>42</v>
      </c>
      <c r="I2" s="88" t="s">
        <v>16</v>
      </c>
      <c r="J2" s="89" t="s">
        <v>19</v>
      </c>
      <c r="K2" s="90" t="s">
        <v>15</v>
      </c>
      <c r="L2" s="91" t="s">
        <v>19</v>
      </c>
      <c r="M2" s="92" t="s">
        <v>17</v>
      </c>
      <c r="N2" s="93" t="s">
        <v>19</v>
      </c>
      <c r="O2" s="147" t="s">
        <v>22</v>
      </c>
      <c r="P2" s="148" t="s">
        <v>27</v>
      </c>
    </row>
    <row r="3" spans="1:18" x14ac:dyDescent="0.3">
      <c r="A3" s="38" t="s">
        <v>2</v>
      </c>
      <c r="B3" s="75">
        <v>68.5</v>
      </c>
      <c r="C3" s="76">
        <v>4.3</v>
      </c>
      <c r="D3" s="77">
        <f>+'2018 Sběrný dvůr'!N3</f>
        <v>15.28</v>
      </c>
      <c r="E3" s="78">
        <f>+'2018 Sběrný dvůr'!K3</f>
        <v>13</v>
      </c>
      <c r="F3" s="78">
        <f>+'2018 Sběrný dvůr'!B20</f>
        <v>0.62</v>
      </c>
      <c r="G3" s="79">
        <f>+'2018 Sběrný dvůr'!G3</f>
        <v>0</v>
      </c>
      <c r="H3" s="80"/>
      <c r="I3" s="81">
        <v>367</v>
      </c>
      <c r="J3" s="82">
        <v>8.1579999999999995</v>
      </c>
      <c r="K3" s="83">
        <v>415</v>
      </c>
      <c r="L3" s="84">
        <v>7.2309999999999999</v>
      </c>
      <c r="M3" s="85">
        <v>48</v>
      </c>
      <c r="N3" s="86">
        <v>9.3810000000000002</v>
      </c>
      <c r="O3" s="139">
        <f>+'2018 Sběrný dvůr'!H20</f>
        <v>4455</v>
      </c>
      <c r="P3" s="140">
        <f>+'2018 Sběrný dvůr'!G20</f>
        <v>1350</v>
      </c>
      <c r="R3" s="2"/>
    </row>
    <row r="4" spans="1:18" x14ac:dyDescent="0.3">
      <c r="A4" s="39" t="s">
        <v>3</v>
      </c>
      <c r="B4" s="8">
        <v>49.04</v>
      </c>
      <c r="C4" s="23">
        <v>1.93</v>
      </c>
      <c r="D4" s="66">
        <f>+'2018 Sběrný dvůr'!N4</f>
        <v>7.28</v>
      </c>
      <c r="E4" s="64">
        <f>+'2018 Sběrný dvůr'!K4</f>
        <v>27.3</v>
      </c>
      <c r="F4" s="64">
        <f>+'2018 Sběrný dvůr'!B21</f>
        <v>0.66</v>
      </c>
      <c r="G4" s="65">
        <f>+'2018 Sběrný dvůr'!G4</f>
        <v>460</v>
      </c>
      <c r="H4" s="9"/>
      <c r="I4" s="16">
        <v>322</v>
      </c>
      <c r="J4" s="17">
        <v>6.3010000000000002</v>
      </c>
      <c r="K4" s="19">
        <v>366</v>
      </c>
      <c r="L4" s="20">
        <v>5.7050000000000001</v>
      </c>
      <c r="M4" s="18">
        <v>16</v>
      </c>
      <c r="N4" s="11">
        <v>2.4860000000000002</v>
      </c>
      <c r="O4" s="139">
        <f>+'2018 Sběrný dvůr'!H21</f>
        <v>5181</v>
      </c>
      <c r="P4" s="140">
        <f>+'2018 Sběrný dvůr'!G21</f>
        <v>1570</v>
      </c>
      <c r="R4" s="2"/>
    </row>
    <row r="5" spans="1:18" x14ac:dyDescent="0.3">
      <c r="A5" s="39" t="s">
        <v>4</v>
      </c>
      <c r="B5" s="8">
        <v>52.74</v>
      </c>
      <c r="C5" s="23">
        <v>4.76</v>
      </c>
      <c r="D5" s="66">
        <f>+'2018 Sběrný dvůr'!N5</f>
        <v>15.57</v>
      </c>
      <c r="E5" s="64">
        <f>+'2018 Sběrný dvůr'!K5</f>
        <v>15.9</v>
      </c>
      <c r="F5" s="64">
        <f>+'2018 Sběrný dvůr'!B22</f>
        <v>0</v>
      </c>
      <c r="G5" s="65">
        <f>+'2018 Sběrný dvůr'!G5</f>
        <v>0</v>
      </c>
      <c r="H5" s="9"/>
      <c r="I5" s="16">
        <v>363</v>
      </c>
      <c r="J5" s="17">
        <v>7.4409999999999998</v>
      </c>
      <c r="K5" s="19">
        <v>413</v>
      </c>
      <c r="L5" s="20">
        <v>7.0670000000000002</v>
      </c>
      <c r="M5" s="18">
        <v>15</v>
      </c>
      <c r="N5" s="11">
        <v>6.4889999999999999</v>
      </c>
      <c r="O5" s="139">
        <f>+'2018 Sběrný dvůr'!H22</f>
        <v>6204</v>
      </c>
      <c r="P5" s="140">
        <f>+'2018 Sběrný dvůr'!G22</f>
        <v>1880</v>
      </c>
      <c r="R5" s="2"/>
    </row>
    <row r="6" spans="1:18" x14ac:dyDescent="0.3">
      <c r="A6" s="39" t="s">
        <v>5</v>
      </c>
      <c r="B6" s="8">
        <v>66.66</v>
      </c>
      <c r="C6" s="23">
        <v>6.55</v>
      </c>
      <c r="D6" s="66">
        <f>+'2018 Sběrný dvůr'!N6</f>
        <v>23.31</v>
      </c>
      <c r="E6" s="64">
        <f>+'2018 Sběrný dvůr'!K6</f>
        <v>36.299999999999997</v>
      </c>
      <c r="F6" s="64">
        <f>+'2018 Sběrný dvůr'!B23</f>
        <v>1.22</v>
      </c>
      <c r="G6" s="65">
        <f>+'2018 Sběrný dvůr'!G6</f>
        <v>680</v>
      </c>
      <c r="H6" s="9">
        <v>7.53</v>
      </c>
      <c r="I6" s="16">
        <v>366</v>
      </c>
      <c r="J6" s="17">
        <v>8.8079999999999998</v>
      </c>
      <c r="K6" s="19">
        <v>415</v>
      </c>
      <c r="L6" s="20">
        <v>9.3049999999999997</v>
      </c>
      <c r="M6" s="18">
        <v>32</v>
      </c>
      <c r="N6" s="11" t="s">
        <v>47</v>
      </c>
      <c r="O6" s="139">
        <f>+'2018 Sběrný dvůr'!H23</f>
        <v>9240</v>
      </c>
      <c r="P6" s="140">
        <f>+'2018 Sběrný dvůr'!G23</f>
        <v>2800</v>
      </c>
      <c r="R6" s="2"/>
    </row>
    <row r="7" spans="1:18" x14ac:dyDescent="0.3">
      <c r="A7" s="39" t="s">
        <v>6</v>
      </c>
      <c r="B7" s="8">
        <v>62.76</v>
      </c>
      <c r="C7" s="23">
        <v>11.63</v>
      </c>
      <c r="D7" s="66">
        <f>+'2018 Sběrný dvůr'!N7</f>
        <v>31.67</v>
      </c>
      <c r="E7" s="64">
        <f>+'2018 Sběrný dvůr'!K7</f>
        <v>31.12</v>
      </c>
      <c r="F7" s="64">
        <f>+'2018 Sběrný dvůr'!B24</f>
        <v>0.61</v>
      </c>
      <c r="G7" s="65">
        <f>+'2018 Sběrný dvůr'!G7</f>
        <v>607</v>
      </c>
      <c r="H7" s="12">
        <v>13.47</v>
      </c>
      <c r="I7" s="16">
        <v>324</v>
      </c>
      <c r="J7" s="17">
        <v>5.9649999999999999</v>
      </c>
      <c r="K7" s="19">
        <v>413</v>
      </c>
      <c r="L7" s="21">
        <v>8.0500000000000007</v>
      </c>
      <c r="M7" s="18">
        <v>32</v>
      </c>
      <c r="N7" s="11">
        <v>6.3289999999999997</v>
      </c>
      <c r="O7" s="139">
        <f>+'2018 Sběrný dvůr'!H24</f>
        <v>9451</v>
      </c>
      <c r="P7" s="140">
        <f>+'2018 Sběrný dvůr'!G24</f>
        <v>2950</v>
      </c>
      <c r="R7" s="2"/>
    </row>
    <row r="8" spans="1:18" x14ac:dyDescent="0.3">
      <c r="A8" s="39" t="s">
        <v>7</v>
      </c>
      <c r="B8" s="8">
        <v>56.14</v>
      </c>
      <c r="C8" s="23">
        <v>8.7100000000000009</v>
      </c>
      <c r="D8" s="66">
        <f>+'2018 Sběrný dvůr'!N8</f>
        <v>21.91</v>
      </c>
      <c r="E8" s="64">
        <f>+'2018 Sběrný dvůr'!K8</f>
        <v>27</v>
      </c>
      <c r="F8" s="64">
        <f>+'2018 Sběrný dvůr'!B25</f>
        <v>0.65</v>
      </c>
      <c r="G8" s="65">
        <f>+'2018 Sběrný dvůr'!G8</f>
        <v>275</v>
      </c>
      <c r="H8" s="9">
        <v>6.38</v>
      </c>
      <c r="I8" s="16">
        <v>363</v>
      </c>
      <c r="J8" s="17">
        <v>5.7629999999999999</v>
      </c>
      <c r="K8" s="19">
        <v>363</v>
      </c>
      <c r="L8" s="21">
        <v>7.4429999999999996</v>
      </c>
      <c r="M8" s="18">
        <v>32</v>
      </c>
      <c r="N8" s="11">
        <v>5.8810000000000002</v>
      </c>
      <c r="O8" s="139">
        <f>+'2018 Sběrný dvůr'!H25</f>
        <v>6798</v>
      </c>
      <c r="P8" s="140">
        <f>+'2018 Sběrný dvůr'!G25</f>
        <v>2060</v>
      </c>
      <c r="R8" s="2"/>
    </row>
    <row r="9" spans="1:18" x14ac:dyDescent="0.3">
      <c r="A9" s="39" t="s">
        <v>8</v>
      </c>
      <c r="B9" s="8">
        <v>67.540000000000006</v>
      </c>
      <c r="C9" s="23">
        <v>13.41</v>
      </c>
      <c r="D9" s="66">
        <f>+'2018 Sběrný dvůr'!N9</f>
        <v>28.73</v>
      </c>
      <c r="E9" s="64">
        <f>+'2018 Sběrný dvůr'!K9</f>
        <v>25.02</v>
      </c>
      <c r="F9" s="64">
        <f>+'2018 Sběrný dvůr'!B26</f>
        <v>0.69</v>
      </c>
      <c r="G9" s="65">
        <f>+'2018 Sběrný dvůr'!G9</f>
        <v>634</v>
      </c>
      <c r="H9" s="9">
        <v>5.47</v>
      </c>
      <c r="I9" s="16">
        <v>375</v>
      </c>
      <c r="J9" s="17">
        <v>7.43</v>
      </c>
      <c r="K9" s="19">
        <v>433</v>
      </c>
      <c r="L9" s="20">
        <v>8.6690000000000005</v>
      </c>
      <c r="M9" s="18">
        <v>32</v>
      </c>
      <c r="N9" s="11">
        <v>5.2089999999999996</v>
      </c>
      <c r="O9" s="139">
        <f>+'2018 Sběrný dvůr'!H26</f>
        <v>5676</v>
      </c>
      <c r="P9" s="140">
        <f>+'2018 Sběrný dvůr'!G26</f>
        <v>1720</v>
      </c>
      <c r="R9" s="2"/>
    </row>
    <row r="10" spans="1:18" x14ac:dyDescent="0.3">
      <c r="A10" s="39" t="s">
        <v>9</v>
      </c>
      <c r="B10" s="8">
        <v>53.28</v>
      </c>
      <c r="C10" s="23">
        <v>10.37</v>
      </c>
      <c r="D10" s="66">
        <f>+'2018 Sběrný dvůr'!N10</f>
        <v>28.47</v>
      </c>
      <c r="E10" s="64">
        <f>+'2018 Sběrný dvůr'!K10</f>
        <v>28.24</v>
      </c>
      <c r="F10" s="64">
        <f>+'2018 Sběrný dvůr'!B27</f>
        <v>0.65</v>
      </c>
      <c r="G10" s="65">
        <f>+'2018 Sběrný dvůr'!G10</f>
        <v>0</v>
      </c>
      <c r="H10" s="9">
        <v>5.45</v>
      </c>
      <c r="I10" s="16">
        <v>372</v>
      </c>
      <c r="J10" s="17">
        <v>7.6319999999999997</v>
      </c>
      <c r="K10" s="19">
        <v>431</v>
      </c>
      <c r="L10" s="20">
        <v>7.6</v>
      </c>
      <c r="M10" s="18">
        <v>48</v>
      </c>
      <c r="N10" s="11">
        <v>7.49</v>
      </c>
      <c r="O10" s="139">
        <f>+'2018 Sběrný dvůr'!H27</f>
        <v>9573</v>
      </c>
      <c r="P10" s="140">
        <f>+'2018 Sběrný dvůr'!G27</f>
        <v>3010</v>
      </c>
      <c r="R10" s="2"/>
    </row>
    <row r="11" spans="1:18" x14ac:dyDescent="0.3">
      <c r="A11" s="39" t="s">
        <v>10</v>
      </c>
      <c r="B11" s="8">
        <v>57.08</v>
      </c>
      <c r="C11" s="23">
        <v>12.69</v>
      </c>
      <c r="D11" s="66">
        <f>+'2018 Sběrný dvůr'!N11</f>
        <v>29.26</v>
      </c>
      <c r="E11" s="64">
        <f>+'2018 Sběrný dvůr'!K11</f>
        <v>19.899999999999999</v>
      </c>
      <c r="F11" s="64">
        <f>+'2018 Sběrný dvůr'!B28</f>
        <v>0.56000000000000005</v>
      </c>
      <c r="G11" s="65">
        <f>+'2018 Sběrný dvůr'!G11</f>
        <v>553</v>
      </c>
      <c r="H11" s="9">
        <v>7.06</v>
      </c>
      <c r="I11" s="16">
        <v>332</v>
      </c>
      <c r="J11" s="17">
        <v>7.992</v>
      </c>
      <c r="K11" s="19">
        <v>384</v>
      </c>
      <c r="L11" s="20">
        <v>7.2169999999999996</v>
      </c>
      <c r="M11" s="18">
        <v>32</v>
      </c>
      <c r="N11" s="11">
        <v>5.13</v>
      </c>
      <c r="O11" s="139">
        <f>+'2018 Sběrný dvůr'!H28</f>
        <v>4819</v>
      </c>
      <c r="P11" s="140">
        <f>+'2018 Sběrný dvůr'!G28</f>
        <v>1850</v>
      </c>
      <c r="R11" s="2"/>
    </row>
    <row r="12" spans="1:18" x14ac:dyDescent="0.3">
      <c r="A12" s="39" t="s">
        <v>11</v>
      </c>
      <c r="B12" s="13">
        <v>71.22</v>
      </c>
      <c r="C12" s="23">
        <v>10.07</v>
      </c>
      <c r="D12" s="66">
        <f>+'2018 Sběrný dvůr'!N12</f>
        <v>24.85</v>
      </c>
      <c r="E12" s="64">
        <f>+'2018 Sběrný dvůr'!K12</f>
        <v>24.5</v>
      </c>
      <c r="F12" s="64">
        <f>+'2018 Sběrný dvůr'!B29</f>
        <v>0.72</v>
      </c>
      <c r="G12" s="65">
        <f>+'2018 Sběrný dvůr'!G12</f>
        <v>295</v>
      </c>
      <c r="H12" s="9">
        <v>7.55</v>
      </c>
      <c r="I12" s="16">
        <v>375</v>
      </c>
      <c r="J12" s="17">
        <v>9.0269999999999992</v>
      </c>
      <c r="K12" s="19">
        <v>433</v>
      </c>
      <c r="L12" s="20">
        <v>8.5350000000000001</v>
      </c>
      <c r="M12" s="18">
        <v>32</v>
      </c>
      <c r="N12" s="14">
        <v>5.0599999999999996</v>
      </c>
      <c r="O12" s="139">
        <f>+'2018 Sběrný dvůr'!H29</f>
        <v>8855</v>
      </c>
      <c r="P12" s="140">
        <f>+'2018 Sběrný dvůr'!G29</f>
        <v>2530</v>
      </c>
      <c r="R12" s="2"/>
    </row>
    <row r="13" spans="1:18" x14ac:dyDescent="0.3">
      <c r="A13" s="39" t="s">
        <v>12</v>
      </c>
      <c r="B13" s="8">
        <v>59.2</v>
      </c>
      <c r="C13" s="23">
        <v>7.22</v>
      </c>
      <c r="D13" s="66">
        <f>+'2018 Sběrný dvůr'!N13</f>
        <v>24.4</v>
      </c>
      <c r="E13" s="64">
        <f>+'2018 Sběrný dvůr'!K13</f>
        <v>13.75</v>
      </c>
      <c r="F13" s="64">
        <f>+'2018 Sběrný dvůr'!B30</f>
        <v>1.17</v>
      </c>
      <c r="G13" s="65">
        <f>+'2018 Sběrný dvůr'!G13</f>
        <v>588</v>
      </c>
      <c r="H13" s="9">
        <v>6.53</v>
      </c>
      <c r="I13" s="16">
        <v>372</v>
      </c>
      <c r="J13" s="17">
        <v>8.0670000000000002</v>
      </c>
      <c r="K13" s="19">
        <v>431</v>
      </c>
      <c r="L13" s="20">
        <v>8.4429999999999996</v>
      </c>
      <c r="M13" s="18">
        <v>34</v>
      </c>
      <c r="N13" s="14">
        <v>5.33</v>
      </c>
      <c r="O13" s="139">
        <f>+'2018 Sběrný dvůr'!H30</f>
        <v>5040</v>
      </c>
      <c r="P13" s="140">
        <f>+'2018 Sběrný dvůr'!G30</f>
        <v>1440</v>
      </c>
      <c r="R13" s="2"/>
    </row>
    <row r="14" spans="1:18" x14ac:dyDescent="0.3">
      <c r="A14" s="39" t="s">
        <v>13</v>
      </c>
      <c r="B14" s="8">
        <v>63.4</v>
      </c>
      <c r="C14" s="23">
        <v>3.24</v>
      </c>
      <c r="D14" s="66">
        <f>+'2018 Sběrný dvůr'!N14</f>
        <v>16.100000000000001</v>
      </c>
      <c r="E14" s="64">
        <f>+'2018 Sběrný dvůr'!K14</f>
        <v>13.26</v>
      </c>
      <c r="F14" s="64">
        <f>+'2018 Sběrný dvůr'!B31</f>
        <v>0.6</v>
      </c>
      <c r="G14" s="65">
        <f>+'2018 Sběrný dvůr'!G14</f>
        <v>0</v>
      </c>
      <c r="H14" s="9"/>
      <c r="I14" s="16">
        <v>375</v>
      </c>
      <c r="J14" s="17">
        <v>9.5250000000000004</v>
      </c>
      <c r="K14" s="19">
        <v>433</v>
      </c>
      <c r="L14" s="20">
        <v>7.95</v>
      </c>
      <c r="M14" s="18">
        <v>38</v>
      </c>
      <c r="N14" s="15">
        <v>5.45</v>
      </c>
      <c r="O14" s="139">
        <f>+'2018 Sběrný dvůr'!H31</f>
        <v>2590</v>
      </c>
      <c r="P14" s="140">
        <f>+'2018 Sběrný dvůr'!G31</f>
        <v>740</v>
      </c>
      <c r="R14" s="2"/>
    </row>
    <row r="15" spans="1:18" x14ac:dyDescent="0.3">
      <c r="A15" s="94"/>
      <c r="B15" s="95"/>
      <c r="C15" s="96"/>
      <c r="D15" s="152"/>
      <c r="E15" s="153"/>
      <c r="F15" s="154"/>
      <c r="G15" s="154"/>
      <c r="H15" s="97"/>
      <c r="I15" s="98"/>
      <c r="J15" s="99"/>
      <c r="K15" s="100"/>
      <c r="L15" s="101"/>
      <c r="M15" s="102"/>
      <c r="N15" s="103"/>
      <c r="O15" s="149"/>
      <c r="P15" s="150"/>
    </row>
    <row r="16" spans="1:18" s="2" customFormat="1" x14ac:dyDescent="0.3">
      <c r="A16" s="1" t="s">
        <v>14</v>
      </c>
      <c r="B16" s="141">
        <f>SUM(B3:B15)</f>
        <v>727.56000000000006</v>
      </c>
      <c r="C16" s="142">
        <f t="shared" ref="C16:G16" si="0">SUM(C3:C15)</f>
        <v>94.88000000000001</v>
      </c>
      <c r="D16" s="155">
        <f t="shared" si="0"/>
        <v>266.83</v>
      </c>
      <c r="E16" s="156">
        <f t="shared" si="0"/>
        <v>275.29000000000002</v>
      </c>
      <c r="F16" s="156">
        <f t="shared" si="0"/>
        <v>8.15</v>
      </c>
      <c r="G16" s="157">
        <f t="shared" si="0"/>
        <v>4092</v>
      </c>
      <c r="H16" s="143"/>
      <c r="I16" s="146">
        <f t="shared" ref="I16:N16" si="1">SUM(I3:I15)</f>
        <v>4306</v>
      </c>
      <c r="J16" s="200">
        <f t="shared" si="1"/>
        <v>92.109000000000009</v>
      </c>
      <c r="K16" s="145">
        <f t="shared" si="1"/>
        <v>4930</v>
      </c>
      <c r="L16" s="160">
        <f t="shared" si="1"/>
        <v>93.215000000000003</v>
      </c>
      <c r="M16" s="144">
        <f t="shared" si="1"/>
        <v>391</v>
      </c>
      <c r="N16" s="161">
        <f t="shared" si="1"/>
        <v>64.235000000000014</v>
      </c>
      <c r="O16" s="199">
        <f>SUM(O3:O15)</f>
        <v>77882</v>
      </c>
      <c r="P16" s="151">
        <f>SUM(P3:P15)</f>
        <v>23900</v>
      </c>
    </row>
    <row r="17" spans="2:29" x14ac:dyDescent="0.3">
      <c r="D17" s="5"/>
      <c r="E17" s="5"/>
      <c r="K17" s="5"/>
      <c r="M17" s="5"/>
      <c r="O17" s="5"/>
      <c r="Q17" s="5"/>
      <c r="S17" s="5"/>
      <c r="U17" s="5"/>
      <c r="W17" s="5"/>
      <c r="Y17" s="5"/>
      <c r="AA17" s="5"/>
      <c r="AC17" s="5"/>
    </row>
    <row r="18" spans="2:29" x14ac:dyDescent="0.3">
      <c r="C18" s="106" t="s">
        <v>40</v>
      </c>
      <c r="D18" s="107" t="s">
        <v>19</v>
      </c>
      <c r="E18" s="107" t="s">
        <v>34</v>
      </c>
      <c r="F18" s="108" t="s">
        <v>35</v>
      </c>
      <c r="G18" s="88" t="s">
        <v>33</v>
      </c>
      <c r="H18" s="124" t="s">
        <v>32</v>
      </c>
      <c r="I18" s="125" t="s">
        <v>19</v>
      </c>
      <c r="J18" s="90" t="s">
        <v>20</v>
      </c>
      <c r="K18" s="126" t="s">
        <v>32</v>
      </c>
      <c r="L18" s="91" t="s">
        <v>19</v>
      </c>
      <c r="M18" s="127" t="s">
        <v>21</v>
      </c>
      <c r="N18" s="93" t="s">
        <v>19</v>
      </c>
      <c r="O18" s="88" t="s">
        <v>44</v>
      </c>
      <c r="P18" s="125" t="s">
        <v>19</v>
      </c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spans="2:29" x14ac:dyDescent="0.3">
      <c r="B19" s="38" t="s">
        <v>2</v>
      </c>
      <c r="C19" s="162">
        <v>14</v>
      </c>
      <c r="D19" s="109">
        <v>0</v>
      </c>
      <c r="E19" s="164">
        <v>1</v>
      </c>
      <c r="F19" s="110">
        <v>0</v>
      </c>
      <c r="G19" s="166">
        <v>32</v>
      </c>
      <c r="H19" s="167"/>
      <c r="I19" s="123">
        <v>0.90400000000000003</v>
      </c>
      <c r="J19" s="170">
        <v>46</v>
      </c>
      <c r="K19" s="171">
        <v>1</v>
      </c>
      <c r="L19" s="84">
        <v>1.512</v>
      </c>
      <c r="M19" s="174">
        <v>6</v>
      </c>
      <c r="N19" s="86">
        <v>0.34300000000000003</v>
      </c>
      <c r="O19" s="166">
        <v>2</v>
      </c>
      <c r="P19" s="123">
        <v>6.9000000000000006E-2</v>
      </c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spans="2:29" x14ac:dyDescent="0.3">
      <c r="B20" s="39" t="s">
        <v>3</v>
      </c>
      <c r="C20" s="163">
        <v>14</v>
      </c>
      <c r="D20" s="111">
        <v>0.249</v>
      </c>
      <c r="E20" s="165">
        <v>1</v>
      </c>
      <c r="F20" s="112">
        <v>3.7999999999999999E-2</v>
      </c>
      <c r="G20" s="168">
        <v>26</v>
      </c>
      <c r="H20" s="169"/>
      <c r="I20" s="122">
        <v>0.67100000000000004</v>
      </c>
      <c r="J20" s="172">
        <v>45</v>
      </c>
      <c r="K20" s="173">
        <v>2</v>
      </c>
      <c r="L20" s="20">
        <v>2.3479999999999999</v>
      </c>
      <c r="M20" s="175">
        <v>2</v>
      </c>
      <c r="N20" s="10">
        <v>9.0999999999999998E-2</v>
      </c>
      <c r="O20" s="168">
        <v>2</v>
      </c>
      <c r="P20" s="122">
        <v>7.0000000000000007E-2</v>
      </c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2:29" x14ac:dyDescent="0.3">
      <c r="B21" s="39" t="s">
        <v>4</v>
      </c>
      <c r="C21" s="163">
        <v>14</v>
      </c>
      <c r="D21" s="111">
        <v>0.17799999999999999</v>
      </c>
      <c r="E21" s="165">
        <v>1</v>
      </c>
      <c r="F21" s="112">
        <v>4.1000000000000002E-2</v>
      </c>
      <c r="G21" s="168">
        <v>32</v>
      </c>
      <c r="H21" s="169"/>
      <c r="I21" s="122">
        <v>0.86499999999999999</v>
      </c>
      <c r="J21" s="172">
        <v>58</v>
      </c>
      <c r="K21" s="173">
        <v>2</v>
      </c>
      <c r="L21" s="20">
        <v>2.4289999999999998</v>
      </c>
      <c r="M21" s="175">
        <v>6</v>
      </c>
      <c r="N21" s="10">
        <v>0.28299999999999997</v>
      </c>
      <c r="O21" s="168">
        <v>3</v>
      </c>
      <c r="P21" s="122">
        <v>9.1999999999999998E-2</v>
      </c>
      <c r="R21" s="4"/>
      <c r="S21" s="4"/>
      <c r="T21" s="4"/>
      <c r="U21" s="4"/>
      <c r="V21" s="4"/>
      <c r="W21" s="4"/>
      <c r="X21" s="4"/>
      <c r="Y21" s="4"/>
      <c r="Z21" s="4"/>
      <c r="AA21" s="4"/>
    </row>
    <row r="22" spans="2:29" x14ac:dyDescent="0.3">
      <c r="B22" s="39" t="s">
        <v>5</v>
      </c>
      <c r="C22" s="163">
        <v>14</v>
      </c>
      <c r="D22" s="111">
        <v>0.20399999999999999</v>
      </c>
      <c r="E22" s="165">
        <v>1</v>
      </c>
      <c r="F22" s="112">
        <v>3.7999999999999999E-2</v>
      </c>
      <c r="G22" s="168">
        <v>49</v>
      </c>
      <c r="H22" s="169">
        <v>1</v>
      </c>
      <c r="I22" s="122">
        <v>1.611</v>
      </c>
      <c r="J22" s="172">
        <v>75</v>
      </c>
      <c r="K22" s="173">
        <v>4</v>
      </c>
      <c r="L22" s="20">
        <v>3.702</v>
      </c>
      <c r="M22" s="175">
        <v>4</v>
      </c>
      <c r="N22" s="10">
        <v>0.218</v>
      </c>
      <c r="O22" s="168">
        <v>2</v>
      </c>
      <c r="P22" s="122">
        <v>6.9000000000000006E-2</v>
      </c>
    </row>
    <row r="23" spans="2:29" x14ac:dyDescent="0.3">
      <c r="B23" s="39" t="s">
        <v>6</v>
      </c>
      <c r="C23" s="163">
        <v>14</v>
      </c>
      <c r="D23" s="111">
        <v>0.21099999999999999</v>
      </c>
      <c r="E23" s="165">
        <v>1</v>
      </c>
      <c r="F23" s="112">
        <v>4.2000000000000003E-2</v>
      </c>
      <c r="G23" s="168">
        <v>45</v>
      </c>
      <c r="H23" s="169">
        <v>1</v>
      </c>
      <c r="I23" s="122">
        <v>1.5680000000000001</v>
      </c>
      <c r="J23" s="172">
        <v>84</v>
      </c>
      <c r="K23" s="173">
        <v>4</v>
      </c>
      <c r="L23" s="20">
        <v>4.3780000000000001</v>
      </c>
      <c r="M23" s="175">
        <v>4</v>
      </c>
      <c r="N23" s="10">
        <v>0.23899999999999999</v>
      </c>
      <c r="O23" s="168">
        <v>3</v>
      </c>
      <c r="P23" s="122">
        <v>9.0999999999999998E-2</v>
      </c>
    </row>
    <row r="24" spans="2:29" x14ac:dyDescent="0.3">
      <c r="B24" s="39" t="s">
        <v>7</v>
      </c>
      <c r="C24" s="163">
        <v>14</v>
      </c>
      <c r="D24" s="111">
        <v>0.26600000000000001</v>
      </c>
      <c r="E24" s="165">
        <v>1</v>
      </c>
      <c r="F24" s="112">
        <v>3.6999999999999998E-2</v>
      </c>
      <c r="G24" s="168">
        <v>58</v>
      </c>
      <c r="H24" s="169"/>
      <c r="I24" s="122">
        <v>1.5860000000000001</v>
      </c>
      <c r="J24" s="172">
        <v>72</v>
      </c>
      <c r="K24" s="173">
        <v>3</v>
      </c>
      <c r="L24" s="20">
        <v>3.0259999999999998</v>
      </c>
      <c r="M24" s="175">
        <v>4</v>
      </c>
      <c r="N24" s="10">
        <v>0.28000000000000003</v>
      </c>
      <c r="O24" s="168">
        <v>3</v>
      </c>
      <c r="P24" s="122">
        <v>9.9000000000000005E-2</v>
      </c>
    </row>
    <row r="25" spans="2:29" x14ac:dyDescent="0.3">
      <c r="B25" s="39" t="s">
        <v>8</v>
      </c>
      <c r="C25" s="163">
        <v>14</v>
      </c>
      <c r="D25" s="111">
        <v>0.20599999999999999</v>
      </c>
      <c r="E25" s="165">
        <v>1</v>
      </c>
      <c r="F25" s="112">
        <v>2.1000000000000001E-2</v>
      </c>
      <c r="G25" s="168">
        <v>60</v>
      </c>
      <c r="H25" s="169">
        <v>1</v>
      </c>
      <c r="I25" s="122">
        <v>1.988</v>
      </c>
      <c r="J25" s="172">
        <v>87</v>
      </c>
      <c r="K25" s="173">
        <v>5</v>
      </c>
      <c r="L25" s="21">
        <v>3.5979999999999999</v>
      </c>
      <c r="M25" s="175">
        <v>4</v>
      </c>
      <c r="N25" s="10">
        <v>0.252</v>
      </c>
      <c r="O25" s="168">
        <v>1</v>
      </c>
      <c r="P25" s="122">
        <v>3.1E-2</v>
      </c>
    </row>
    <row r="26" spans="2:29" x14ac:dyDescent="0.3">
      <c r="B26" s="39" t="s">
        <v>9</v>
      </c>
      <c r="C26" s="163">
        <v>14</v>
      </c>
      <c r="D26" s="111">
        <v>0.188</v>
      </c>
      <c r="E26" s="165">
        <v>1</v>
      </c>
      <c r="F26" s="112">
        <v>1.7999999999999999E-2</v>
      </c>
      <c r="G26" s="168">
        <v>52</v>
      </c>
      <c r="H26" s="169">
        <v>1</v>
      </c>
      <c r="I26" s="122">
        <v>1.83</v>
      </c>
      <c r="J26" s="172">
        <v>76</v>
      </c>
      <c r="K26" s="173">
        <v>4</v>
      </c>
      <c r="L26" s="20">
        <v>3.2930000000000001</v>
      </c>
      <c r="M26" s="175">
        <v>6</v>
      </c>
      <c r="N26" s="10">
        <v>0.28499999999999998</v>
      </c>
      <c r="O26" s="168">
        <v>1</v>
      </c>
      <c r="P26" s="122">
        <v>3.3000000000000002E-2</v>
      </c>
    </row>
    <row r="27" spans="2:29" x14ac:dyDescent="0.3">
      <c r="B27" s="39" t="s">
        <v>10</v>
      </c>
      <c r="C27" s="163">
        <v>14</v>
      </c>
      <c r="D27" s="113">
        <v>0.26600000000000001</v>
      </c>
      <c r="E27" s="165">
        <v>1</v>
      </c>
      <c r="F27" s="112">
        <v>2.9000000000000001E-2</v>
      </c>
      <c r="G27" s="168">
        <v>48</v>
      </c>
      <c r="H27" s="169">
        <v>1</v>
      </c>
      <c r="I27" s="122">
        <v>1.756</v>
      </c>
      <c r="J27" s="172">
        <v>68</v>
      </c>
      <c r="K27" s="173">
        <v>3</v>
      </c>
      <c r="L27" s="20">
        <v>2.7450000000000001</v>
      </c>
      <c r="M27" s="175">
        <v>4</v>
      </c>
      <c r="N27" s="10">
        <v>0.26100000000000001</v>
      </c>
      <c r="O27" s="168">
        <v>3</v>
      </c>
      <c r="P27" s="122">
        <v>8.8999999999999996E-2</v>
      </c>
    </row>
    <row r="28" spans="2:29" x14ac:dyDescent="0.3">
      <c r="B28" s="39" t="s">
        <v>11</v>
      </c>
      <c r="C28" s="163">
        <v>14</v>
      </c>
      <c r="D28" s="111">
        <v>0.158</v>
      </c>
      <c r="E28" s="165">
        <v>1</v>
      </c>
      <c r="F28" s="112">
        <v>1.6E-2</v>
      </c>
      <c r="G28" s="168">
        <v>49</v>
      </c>
      <c r="H28" s="169"/>
      <c r="I28" s="122">
        <v>1.46</v>
      </c>
      <c r="J28" s="172">
        <v>84</v>
      </c>
      <c r="K28" s="173">
        <v>3</v>
      </c>
      <c r="L28" s="20">
        <v>3.1629999999999998</v>
      </c>
      <c r="M28" s="175">
        <v>4</v>
      </c>
      <c r="N28" s="10">
        <v>0.24299999999999999</v>
      </c>
      <c r="O28" s="168">
        <v>3</v>
      </c>
      <c r="P28" s="122">
        <v>9.2999999999999999E-2</v>
      </c>
    </row>
    <row r="29" spans="2:29" x14ac:dyDescent="0.3">
      <c r="B29" s="39" t="s">
        <v>12</v>
      </c>
      <c r="C29" s="163">
        <v>14</v>
      </c>
      <c r="D29" s="113">
        <v>0.188</v>
      </c>
      <c r="E29" s="165">
        <v>1</v>
      </c>
      <c r="F29" s="112">
        <v>2.5999999999999999E-2</v>
      </c>
      <c r="G29" s="168">
        <v>46</v>
      </c>
      <c r="H29" s="169"/>
      <c r="I29" s="122">
        <v>1.1859999999999999</v>
      </c>
      <c r="J29" s="172">
        <v>76</v>
      </c>
      <c r="K29" s="173">
        <v>1.6</v>
      </c>
      <c r="L29" s="20">
        <v>2.44</v>
      </c>
      <c r="M29" s="175">
        <v>4</v>
      </c>
      <c r="N29" s="10">
        <v>0.19400000000000001</v>
      </c>
      <c r="O29" s="168">
        <v>3</v>
      </c>
      <c r="P29" s="122">
        <v>9.5000000000000001E-2</v>
      </c>
    </row>
    <row r="30" spans="2:29" x14ac:dyDescent="0.3">
      <c r="B30" s="39" t="s">
        <v>13</v>
      </c>
      <c r="C30" s="163">
        <v>0</v>
      </c>
      <c r="D30" s="113">
        <v>0</v>
      </c>
      <c r="E30" s="165">
        <v>0</v>
      </c>
      <c r="F30" s="112">
        <v>0</v>
      </c>
      <c r="G30" s="168">
        <v>37</v>
      </c>
      <c r="H30" s="169"/>
      <c r="I30" s="122">
        <v>1.121</v>
      </c>
      <c r="J30" s="172">
        <v>42</v>
      </c>
      <c r="K30" s="173">
        <v>1</v>
      </c>
      <c r="L30" s="20">
        <v>1.0640000000000001</v>
      </c>
      <c r="M30" s="175">
        <v>4</v>
      </c>
      <c r="N30" s="10">
        <v>0.2</v>
      </c>
      <c r="O30" s="168">
        <v>3</v>
      </c>
      <c r="P30" s="122">
        <v>0.09</v>
      </c>
    </row>
    <row r="31" spans="2:29" x14ac:dyDescent="0.3">
      <c r="B31" s="94"/>
      <c r="C31" s="114"/>
      <c r="D31" s="115"/>
      <c r="E31" s="116"/>
      <c r="F31" s="117"/>
      <c r="G31" s="98"/>
      <c r="H31" s="128"/>
      <c r="I31" s="129"/>
      <c r="J31" s="100"/>
      <c r="K31" s="130"/>
      <c r="L31" s="101"/>
      <c r="M31" s="131"/>
      <c r="N31" s="132"/>
      <c r="O31" s="98"/>
      <c r="P31" s="129"/>
    </row>
    <row r="32" spans="2:29" x14ac:dyDescent="0.3">
      <c r="B32" s="1" t="s">
        <v>14</v>
      </c>
      <c r="C32" s="118">
        <f>SUM(C19:C31)</f>
        <v>154</v>
      </c>
      <c r="D32" s="119">
        <f>SUM(D19:D31)</f>
        <v>2.1139999999999999</v>
      </c>
      <c r="E32" s="120">
        <f>SUM(E19:E31)</f>
        <v>11</v>
      </c>
      <c r="F32" s="121">
        <f>SUM(F19:F31)</f>
        <v>0.30600000000000005</v>
      </c>
      <c r="G32" s="104">
        <f>SUM(G19:G31)</f>
        <v>534</v>
      </c>
      <c r="H32" s="133"/>
      <c r="I32" s="134">
        <f t="shared" ref="I32:N32" si="2">SUM(I19:I31)</f>
        <v>16.545999999999999</v>
      </c>
      <c r="J32" s="105">
        <f t="shared" si="2"/>
        <v>813</v>
      </c>
      <c r="K32" s="135">
        <f t="shared" si="2"/>
        <v>33.6</v>
      </c>
      <c r="L32" s="136">
        <f t="shared" si="2"/>
        <v>33.698</v>
      </c>
      <c r="M32" s="137">
        <f t="shared" si="2"/>
        <v>52</v>
      </c>
      <c r="N32" s="138">
        <f t="shared" si="2"/>
        <v>2.8889999999999998</v>
      </c>
      <c r="O32" s="104">
        <f t="shared" ref="O32:P32" si="3">SUM(O19:O31)</f>
        <v>29</v>
      </c>
      <c r="P32" s="134">
        <f t="shared" si="3"/>
        <v>0.92099999999999993</v>
      </c>
    </row>
    <row r="34" spans="6:11" x14ac:dyDescent="0.3">
      <c r="F34" s="176" t="s">
        <v>66</v>
      </c>
      <c r="G34" s="176"/>
      <c r="H34" s="176"/>
      <c r="I34" s="176"/>
      <c r="J34" s="176"/>
      <c r="K34" s="176"/>
    </row>
  </sheetData>
  <pageMargins left="0.51181102362204722" right="0.51181102362204722" top="0.59055118110236227" bottom="0.59055118110236227" header="0.31496062992125984" footer="0.31496062992125984"/>
  <pageSetup paperSize="9" orientation="landscape" r:id="rId1"/>
  <headerFooter>
    <oddFooter>&amp;L&amp;F&amp;C&amp;D  &amp;T&amp;R&amp;A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6</vt:i4>
      </vt:variant>
      <vt:variant>
        <vt:lpstr>Pojmenované oblasti</vt:lpstr>
      </vt:variant>
      <vt:variant>
        <vt:i4>1</vt:i4>
      </vt:variant>
    </vt:vector>
  </HeadingPairs>
  <TitlesOfParts>
    <vt:vector size="7" baseType="lpstr">
      <vt:lpstr>2018 Sběrný dvůr</vt:lpstr>
      <vt:lpstr>2018 výnosy SD+vesnice</vt:lpstr>
      <vt:lpstr>bilance</vt:lpstr>
      <vt:lpstr>2018 Rychlá Rota</vt:lpstr>
      <vt:lpstr>2018 TSDB náklady</vt:lpstr>
      <vt:lpstr>2018 pro statistiky</vt:lpstr>
      <vt:lpstr>bilance!Oblast_tisku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Šimková</dc:creator>
  <cp:lastModifiedBy>RAK Antonín</cp:lastModifiedBy>
  <cp:lastPrinted>2019-02-04T14:25:05Z</cp:lastPrinted>
  <dcterms:created xsi:type="dcterms:W3CDTF">2013-04-30T09:04:02Z</dcterms:created>
  <dcterms:modified xsi:type="dcterms:W3CDTF">2019-09-09T10:15:13Z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 id">
    <vt:lpwstr>833fbcea-ce8b-4826-b716-14aaf6d124e0</vt:lpwstr>
  </property>
  <property fmtid="{D5CDD505-2E9C-101B-9397-08002B2CF9AE}" pid="3" name="Workbook type">
    <vt:lpwstr>Custom</vt:lpwstr>
  </property>
  <property fmtid="{D5CDD505-2E9C-101B-9397-08002B2CF9AE}" pid="4" name="Workbook version">
    <vt:lpwstr>Custom</vt:lpwstr>
  </property>
</Properties>
</file>